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EybLmEnXkMuCsUNalY39joegpztE5QTes48WtR7oacepYBxmtrBKQ0Dye1vb6Ch0lzIoIhsRrhCMW5m9XThs8Q==" workbookSaltValue="UKnymdYJWr0avnwrJH8F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F16" i="8" s="1"/>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D20" i="12"/>
  <c r="ER21" i="8"/>
  <c r="N19" i="11"/>
  <c r="AE14" i="21"/>
  <c r="AL16" i="11"/>
  <c r="EL21" i="8"/>
  <c r="EQ21" i="8"/>
  <c r="EN21" i="8"/>
  <c r="K20" i="11"/>
  <c r="BA14" i="16"/>
  <c r="N10" i="11"/>
  <c r="N9" i="11"/>
  <c r="D17" i="2"/>
  <c r="B19" i="6"/>
  <c r="ES21" i="8"/>
  <c r="G20" i="12"/>
  <c r="AQ19" i="11"/>
  <c r="EP21" i="8"/>
  <c r="ER21" i="13"/>
  <c r="AL14" i="16"/>
  <c r="EP21" i="19"/>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G16"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M22" i="20"/>
  <c r="U10" i="11"/>
  <c r="W22" i="21"/>
  <c r="AF22" i="20"/>
  <c r="U18" i="11"/>
  <c r="AL22" i="20"/>
  <c r="AE22" i="20"/>
  <c r="AG22" i="20"/>
  <c r="L22" i="20"/>
  <c r="N22" i="20"/>
  <c r="AY20" i="8" l="1"/>
  <c r="AE21" i="8"/>
  <c r="BG10" i="8"/>
  <c r="BE9" i="8"/>
  <c r="R21" i="8"/>
  <c r="AY14" i="8"/>
  <c r="H12" i="2"/>
  <c r="K16" i="7"/>
  <c r="F13" i="2"/>
  <c r="M20" i="2"/>
  <c r="N20"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F11" i="16"/>
  <c r="BL11" i="16" s="1"/>
  <c r="X12" i="21"/>
  <c r="AP17" i="20"/>
  <c r="BH9" i="16"/>
  <c r="BL19" i="11"/>
  <c r="BL9" i="11"/>
  <c r="BK13" i="11"/>
  <c r="BH18" i="16"/>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G10" i="11"/>
  <c r="BM17" i="11"/>
  <c r="Q18" i="20"/>
  <c r="Q20" i="20" s="1"/>
  <c r="V11" i="16"/>
  <c r="BF18" i="11"/>
  <c r="BH19" i="11"/>
  <c r="BK19"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7"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H21" i="7"/>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<sst xmlns="http://schemas.openxmlformats.org/spreadsheetml/2006/main" count="2215" uniqueCount="971">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</sst>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970</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fQnNL0jS/O9ln0tdIqUXoWXXHpiyvT7ESViPVAfgLGKQbYW2wX9a1HKOpWYSWxlCI6VcJm/bzJp7hOaeBFJAQ==" saltValue="HqEXgEAN0mpPa2odEJs9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61.109498680738781</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67</v>
      </c>
      <c r="D10" s="230">
        <f>IF(ISNUMBER(Datos!I10),Datos!I10," - ")</f>
        <v>67</v>
      </c>
      <c r="E10" s="231">
        <f>IF(ISNUMBER(Datos!J10),Datos!J10," - ")</f>
        <v>27</v>
      </c>
      <c r="F10" s="231">
        <f>IF(ISNUMBER(Datos!K10),Datos!K10," - ")</f>
        <v>20</v>
      </c>
      <c r="G10" s="1193" t="str">
        <f>IF(Datos!E10&lt;&gt;"",Datos!E10,Datos!D10)</f>
        <v>37</v>
      </c>
      <c r="H10" s="232">
        <f>IF(ISNUMBER(Datos!L10),Datos!L10," - ")</f>
        <v>74</v>
      </c>
      <c r="I10" s="1203" t="str">
        <f>IF(ISNUMBER(Datos!AS10/Datos!BM10),Datos!AS10/Datos!BM10," - ")</f>
        <v xml:space="preserve"> - </v>
      </c>
      <c r="J10" s="1204">
        <f>IF(ISNUMBER(Datos!BY10/Datos!CN10),Datos!BY10/Datos!CN10," - ")</f>
        <v>0</v>
      </c>
      <c r="K10" s="235">
        <f t="shared" ref="K10:K13" si="1">IF(ISNUMBER((E10-F10)/C10),(E10-F10)/C10," - ")</f>
        <v>0.1044776119402985</v>
      </c>
      <c r="L10" s="1205">
        <f>IF(ISNUMBER(NºAsuntos!I10/NºAsuntos!G10),(NºAsuntos!I10/NºAsuntos!G10)*11," - ")</f>
        <v>40.700000000000003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67</v>
      </c>
      <c r="D14" s="1210">
        <f>SUBTOTAL(9,D9:D13)</f>
        <v>67</v>
      </c>
      <c r="E14" s="1211">
        <f>SUBTOTAL(9,E9:E13)</f>
        <v>27</v>
      </c>
      <c r="F14" s="1212">
        <f>SUBTOTAL(9,F9:F13)</f>
        <v>20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1415</v>
      </c>
      <c r="D16" s="230">
        <f>IF(ISNUMBER(IF(D_I="SI",Datos!I16,Datos!I16+Datos!AC16)),IF(D_I="SI",Datos!I16,Datos!I16+Datos!AC16)," - ")</f>
        <v>1341</v>
      </c>
      <c r="E16" s="231">
        <f>IF(ISNUMBER(IF(D_I="SI",Datos!J16,Datos!J16+Datos!AD16)),IF(D_I="SI",Datos!J16,Datos!J16+Datos!AD16)," - ")</f>
        <v>2028</v>
      </c>
      <c r="F16" s="231">
        <f>IF(ISNUMBER(IF(D_I="SI",Datos!K16,Datos!K16+Datos!AE16)),IF(D_I="SI",Datos!K16,Datos!K16+Datos!AE16)," - ")</f>
        <v>2183</v>
      </c>
      <c r="G16" s="1193" t="str">
        <f>IF(Datos!E16&lt;&gt;"",Datos!E16,Datos!D16)</f>
        <v>03</v>
      </c>
      <c r="H16" s="232">
        <f>IF(ISNUMBER(IF(D_I="SI",Datos!L16,Datos!L16+Datos!AF16)),IF(D_I="SI",Datos!L16,Datos!L16+Datos!AF16)," - ")</f>
        <v>1260</v>
      </c>
      <c r="I16" s="1203" t="str">
        <f>IF(ISNUMBER(Datos!AS16/Datos!BM16),Datos!AS16/Datos!BM16," - ")</f>
        <v xml:space="preserve"> - </v>
      </c>
      <c r="J16" s="1204">
        <f>IF(ISNUMBER(Datos!BY16/Datos!CN16),Datos!BY16/Datos!CN16," - ")</f>
        <v>0</v>
      </c>
      <c r="K16" s="235">
        <f t="shared" ref="K16:K19" si="3">IF(ISNUMBER((E16-F16)/C16),(E16-F16)/C16," - ")</f>
        <v>-0.10954063604240283</v>
      </c>
      <c r="L16" s="1205">
        <f>IF(ISNUMBER(NºAsuntos!I16/NºAsuntos!G16),(NºAsuntos!I16/NºAsuntos!G16)*11," - ")</f>
        <v>6.3490609253321111</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65</v>
      </c>
      <c r="D17" s="230">
        <f>IF(ISNUMBER(IF(D_I="SI",Datos!I17,Datos!I17+Datos!AC17)),IF(D_I="SI",Datos!I17,Datos!I17+Datos!AC17)," - ")</f>
        <v>15</v>
      </c>
      <c r="E17" s="231">
        <f>IF(ISNUMBER(IF(D_I="SI",Datos!J17,Datos!J17+Datos!AD17)),IF(D_I="SI",Datos!J17,Datos!J17+Datos!AD17)," - ")</f>
        <v>0</v>
      </c>
      <c r="F17" s="231">
        <f>IF(ISNUMBER(IF(D_I="SI",Datos!K17,Datos!K17+Datos!AE17)),IF(D_I="SI",Datos!K17,Datos!K17+Datos!AE17)," - ")</f>
        <v>54</v>
      </c>
      <c r="G17" s="1193" t="str">
        <f>IF(Datos!E17&lt;&gt;"",Datos!E17,Datos!D17)</f>
        <v>04</v>
      </c>
      <c r="H17" s="232">
        <f>IF(ISNUMBER(IF(D_I="SI",Datos!L17,Datos!L17+Datos!AF17)),IF(D_I="SI",Datos!L17,Datos!L17+Datos!AF17)," - ")</f>
        <v>11</v>
      </c>
      <c r="I17" s="1203" t="str">
        <f>IF(ISNUMBER(Datos!AS17/Datos!BM17),Datos!AS17/Datos!BM17," - ")</f>
        <v xml:space="preserve"> - </v>
      </c>
      <c r="J17" s="1204">
        <f>IF(ISNUMBER(Datos!BY17/Datos!CN17),Datos!BY17/Datos!CN17," - ")</f>
        <v>0</v>
      </c>
      <c r="K17" s="235">
        <f t="shared" si="3"/>
        <v>-0.83076923076923082</v>
      </c>
      <c r="L17" s="1205">
        <f>IF(ISNUMBER(NºAsuntos!I17/NºAsuntos!G17),(NºAsuntos!I17/NºAsuntos!G17)*11," - ")</f>
        <v>2.2407407407407405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126</v>
      </c>
      <c r="D18" s="230">
        <f>IF(ISNUMBER(IF(D_I="SI",Datos!I18,Datos!I18+Datos!AC18)),IF(D_I="SI",Datos!I18,Datos!I18+Datos!AC18)," - ")</f>
        <v>126</v>
      </c>
      <c r="E18" s="231">
        <f>IF(ISNUMBER(IF(D_I="SI",Datos!J18,Datos!J18+Datos!AD18)),IF(D_I="SI",Datos!J18,Datos!J18+Datos!AD18)," - ")</f>
        <v>275</v>
      </c>
      <c r="F18" s="231">
        <f>IF(ISNUMBER(IF(D_I="SI",Datos!K18,Datos!K18+Datos!AE18)),IF(D_I="SI",Datos!K18,Datos!K18+Datos!AE18)," - ")</f>
        <v>291</v>
      </c>
      <c r="G18" s="1193" t="str">
        <f>IF(Datos!E18&lt;&gt;"",Datos!E18,Datos!D18)</f>
        <v>37</v>
      </c>
      <c r="H18" s="232">
        <f>IF(ISNUMBER(IF(D_I="SI",Datos!L18,Datos!L18+Datos!AF18)),IF(D_I="SI",Datos!L18,Datos!L18+Datos!AF18)," - ")</f>
        <v>110</v>
      </c>
      <c r="I18" s="1203" t="str">
        <f>IF(ISNUMBER(Datos!AS18/Datos!BM18),Datos!AS18/Datos!BM18," - ")</f>
        <v xml:space="preserve"> - </v>
      </c>
      <c r="J18" s="1204" t="str">
        <f>IF(ISNUMBER((Datos!BY18+Datos!BZ18)/Datos!CN18),(Datos!BY18+Datos!BZ18)/Datos!CN18," - ")</f>
        <v xml:space="preserve"> - </v>
      </c>
      <c r="K18" s="235">
        <f t="shared" si="3"/>
        <v>-0.12698412698412698</v>
      </c>
      <c r="L18" s="1205">
        <f>IF(ISNUMBER(NºAsuntos!I18/NºAsuntos!G18),(NºAsuntos!I18/NºAsuntos!G18)*11," - ")</f>
        <v>4.1580756013745699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1606</v>
      </c>
      <c r="D20" s="1210">
        <f>SUBTOTAL(9,D16:D19)</f>
        <v>1482</v>
      </c>
      <c r="E20" s="1211">
        <f>SUBTOTAL(9,E16:E19)</f>
        <v>2303</v>
      </c>
      <c r="F20" s="1211">
        <f>SUBTOTAL(9,F16:F19)</f>
        <v>2528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1673</v>
      </c>
      <c r="D21" s="1232">
        <f>SUBTOTAL(9,D9:D20)</f>
        <v>1549</v>
      </c>
      <c r="E21" s="1233">
        <f>SUBTOTAL(9,E9:E20)</f>
        <v>2330</v>
      </c>
      <c r="F21" s="1233">
        <f>SUBTOTAL(9,F9:F20)</f>
        <v>2548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jMRobI631Pet+1o3OvqS9dFOMtMmAVr242Zm9OmfDHnO4qmx1NhSIwnBDKzVgeoJb8TuiZ9kqQPms37Vwa78Og==" saltValue="Tfio1s1NrPtGd4EDsdzdX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LGgoQmOUDYk/liB1P7g2pRg0lUqxF9J5NfwU0nrZgE0Qt3IFvIix8/V3SSChKOjlApasCfKt8gIl2Rio7BUTJw==" saltValue="k+cqhLOtY1L2YF60tt13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8145</v>
      </c>
      <c r="J9" s="186">
        <v>1616</v>
      </c>
      <c r="K9" s="186">
        <v>1346</v>
      </c>
      <c r="L9" s="186">
        <v>8172</v>
      </c>
      <c r="M9" s="186">
        <v>229</v>
      </c>
      <c r="N9" s="186">
        <v>660</v>
      </c>
      <c r="O9" s="186">
        <v>761</v>
      </c>
      <c r="P9" s="186">
        <v>427</v>
      </c>
      <c r="Q9" s="186">
        <v>170</v>
      </c>
      <c r="R9" s="186">
        <v>8331</v>
      </c>
      <c r="S9" s="186">
        <v>7958</v>
      </c>
      <c r="T9" s="186">
        <v>1616</v>
      </c>
      <c r="U9" s="186">
        <v>1552</v>
      </c>
      <c r="V9" s="186">
        <v>8022</v>
      </c>
      <c r="W9" s="186">
        <v>351</v>
      </c>
      <c r="X9" s="193">
        <v>694</v>
      </c>
      <c r="Y9" s="196">
        <v>272</v>
      </c>
      <c r="Z9" s="186">
        <v>138</v>
      </c>
      <c r="AA9" s="186">
        <v>170</v>
      </c>
      <c r="AB9" s="186">
        <v>250</v>
      </c>
      <c r="AC9" s="186">
        <v>0</v>
      </c>
      <c r="AD9" s="186">
        <v>0</v>
      </c>
      <c r="AE9" s="186">
        <v>0</v>
      </c>
      <c r="AF9" s="193">
        <v>0</v>
      </c>
      <c r="AG9" s="196">
        <v>288</v>
      </c>
      <c r="AH9" s="186">
        <v>170</v>
      </c>
      <c r="AI9" s="186">
        <v>95</v>
      </c>
      <c r="AJ9" s="197">
        <v>363</v>
      </c>
      <c r="AK9" s="185">
        <v>0</v>
      </c>
      <c r="AL9" s="186">
        <v>0</v>
      </c>
      <c r="AM9" s="186">
        <v>0</v>
      </c>
      <c r="AN9" s="193">
        <v>0</v>
      </c>
      <c r="AO9" s="263">
        <v>5</v>
      </c>
      <c r="AP9" s="159">
        <v>5</v>
      </c>
      <c r="AQ9" s="159">
        <v>5</v>
      </c>
      <c r="AR9" s="198">
        <v>5</v>
      </c>
      <c r="AS9" s="348" t="s">
        <v>863</v>
      </c>
      <c r="AT9" s="200"/>
      <c r="AU9" s="199"/>
      <c r="AV9" s="200"/>
      <c r="AW9" s="199"/>
      <c r="AX9" s="200"/>
      <c r="AY9" s="125">
        <f>IF(ISNUMBER(IF(J_V="SI",S9,S9+AG9)),IF(J_V="SI",S9,S9+AG9)," - ")</f>
        <v>8246</v>
      </c>
      <c r="AZ9" s="125">
        <f>IF(ISNUMBER(IF(J_V="SI",T9,T9+AH9)),IF(J_V="SI",T9,T9+AH9)," - ")</f>
        <v>1786</v>
      </c>
      <c r="BA9" s="126">
        <f>IF(ISNUMBER(IF(J_V="SI",U9,U9+AI9)),IF(J_V="SI",U9,U9+AI9)," - ")</f>
        <v>1647</v>
      </c>
      <c r="BB9" s="126">
        <f>IF(ISNUMBER(IF(J_V="SI",V9,V9+AJ9)),IF(J_V="SI",V9,V9+AJ9)," - ")</f>
        <v>8385</v>
      </c>
      <c r="BC9" s="127">
        <f>IF(ISNUMBER(X9),X9," - ")</f>
        <v>694</v>
      </c>
      <c r="BD9" s="128">
        <f>IF(ISNUMBER(BA9/AZ9),BA9/AZ9," - ")</f>
        <v>0.92217245240761481</v>
      </c>
      <c r="BE9" s="129">
        <f>IF(ISNUMBER(BB9/BA9),BB9/BA9, " - ")</f>
        <v>5.0910746812386156</v>
      </c>
      <c r="BF9" s="129">
        <f>IF(ISNUMBER(BC9/BA9),BC9/BA9, " - ")</f>
        <v>0.42137219186399516</v>
      </c>
      <c r="BG9" s="201">
        <f>IF(ISNUMBER((AY9+AZ9)/BA9),(AY9+AZ9)/BA9," - ")</f>
        <v>6.0910746812386156</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67</v>
      </c>
      <c r="J10" s="186">
        <v>27</v>
      </c>
      <c r="K10" s="186">
        <v>20</v>
      </c>
      <c r="L10" s="186">
        <v>74</v>
      </c>
      <c r="M10" s="186">
        <v>6</v>
      </c>
      <c r="N10" s="186">
        <v>0</v>
      </c>
      <c r="O10" s="186">
        <v>0</v>
      </c>
      <c r="P10" s="186">
        <v>2</v>
      </c>
      <c r="Q10" s="186">
        <v>11</v>
      </c>
      <c r="R10" s="186">
        <v>47</v>
      </c>
      <c r="S10" s="186">
        <v>93</v>
      </c>
      <c r="T10" s="186">
        <v>1</v>
      </c>
      <c r="U10" s="186">
        <v>16</v>
      </c>
      <c r="V10" s="186">
        <v>78</v>
      </c>
      <c r="W10" s="186">
        <v>16</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1</v>
      </c>
      <c r="AQ10" s="159">
        <v>1</v>
      </c>
      <c r="AR10" s="160">
        <v>1</v>
      </c>
      <c r="AS10" s="349" t="s">
        <v>857</v>
      </c>
      <c r="AT10" s="197"/>
      <c r="AU10" s="205"/>
      <c r="AV10" s="197"/>
      <c r="AW10" s="205"/>
      <c r="AX10" s="197"/>
      <c r="AY10" s="130">
        <f t="shared" ref="AY10:BC10" si="0">IF(ISNUMBER(S10),S10," - ")</f>
        <v>93</v>
      </c>
      <c r="AZ10" s="131">
        <f t="shared" si="0"/>
        <v>1</v>
      </c>
      <c r="BA10" s="131">
        <f t="shared" si="0"/>
        <v>16</v>
      </c>
      <c r="BB10" s="131">
        <f t="shared" si="0"/>
        <v>78</v>
      </c>
      <c r="BC10" s="127">
        <f t="shared" si="0"/>
        <v>16</v>
      </c>
      <c r="BD10" s="128">
        <f>IF(ISNUMBER(BA10/AZ10),BA10/AZ10," - ")</f>
        <v>16</v>
      </c>
      <c r="BE10" s="129">
        <f>IF(ISNUMBER(BB10/BA10),BB10/BA10, " - ")</f>
        <v>4.875</v>
      </c>
      <c r="BF10" s="129">
        <f>IF(ISNUMBER(BC10/BA10),BC10/BA10, " - ")</f>
        <v>1</v>
      </c>
      <c r="BG10" s="201">
        <f>IF(ISNUMBER((AY10+AZ10)/BA10),(AY10+AZ10)/BA10," - ")</f>
        <v>5.875</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872</v>
      </c>
      <c r="J12" s="188" t="s">
        <v>864</v>
      </c>
      <c r="K12" s="188" t="s">
        <v>920</v>
      </c>
      <c r="L12" s="188" t="s">
        <v>877</v>
      </c>
      <c r="M12" s="188" t="s">
        <v>541</v>
      </c>
      <c r="N12" s="188" t="s">
        <v>555</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866</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8212</v>
      </c>
      <c r="J14" s="189">
        <f t="shared" si="7"/>
        <v>1643</v>
      </c>
      <c r="K14" s="189">
        <f t="shared" si="7"/>
        <v>1366</v>
      </c>
      <c r="L14" s="189">
        <f t="shared" si="7"/>
        <v>8246</v>
      </c>
      <c r="M14" s="189">
        <f t="shared" si="7"/>
        <v>235</v>
      </c>
      <c r="N14" s="189">
        <f t="shared" si="7"/>
        <v>660</v>
      </c>
      <c r="O14" s="189">
        <f t="shared" si="7"/>
        <v>761</v>
      </c>
      <c r="P14" s="189">
        <f t="shared" si="7"/>
        <v>429</v>
      </c>
      <c r="Q14" s="189">
        <f t="shared" si="7"/>
        <v>181</v>
      </c>
      <c r="R14" s="189">
        <f t="shared" si="7"/>
        <v>8378</v>
      </c>
      <c r="S14" s="189">
        <f t="shared" si="7"/>
        <v>8051</v>
      </c>
      <c r="T14" s="189">
        <f t="shared" si="7"/>
        <v>1617</v>
      </c>
      <c r="U14" s="189">
        <f t="shared" si="7"/>
        <v>1568</v>
      </c>
      <c r="V14" s="189">
        <f t="shared" si="7"/>
        <v>8100</v>
      </c>
      <c r="W14" s="189">
        <f t="shared" si="7"/>
        <v>367</v>
      </c>
      <c r="X14" s="189">
        <f t="shared" si="7"/>
        <v>694</v>
      </c>
      <c r="Y14" s="189">
        <f t="shared" si="7"/>
        <v>272</v>
      </c>
      <c r="Z14" s="189">
        <f t="shared" si="7"/>
        <v>138</v>
      </c>
      <c r="AA14" s="189">
        <f t="shared" si="7"/>
        <v>170</v>
      </c>
      <c r="AB14" s="189">
        <f t="shared" si="7"/>
        <v>250</v>
      </c>
      <c r="AC14" s="189">
        <f t="shared" si="7"/>
        <v>0</v>
      </c>
      <c r="AD14" s="189">
        <f t="shared" si="7"/>
        <v>0</v>
      </c>
      <c r="AE14" s="189">
        <f t="shared" si="7"/>
        <v>0</v>
      </c>
      <c r="AF14" s="189">
        <f>SUBTOTAL(9,AF9:AF13)</f>
        <v>0</v>
      </c>
      <c r="AG14" s="189">
        <f t="shared" ref="AG14:AT14" si="8">SUBTOTAL(9,AG8:AG13)</f>
        <v>288</v>
      </c>
      <c r="AH14" s="189">
        <f t="shared" si="8"/>
        <v>170</v>
      </c>
      <c r="AI14" s="189">
        <f t="shared" si="8"/>
        <v>95</v>
      </c>
      <c r="AJ14" s="189">
        <f t="shared" si="8"/>
        <v>363</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8339</v>
      </c>
      <c r="AZ14" s="189">
        <f>SUBTOTAL(9,AZ8:AZ13)</f>
        <v>1787</v>
      </c>
      <c r="BA14" s="189">
        <f>SUBTOTAL(9,BA8:BA13)</f>
        <v>1663</v>
      </c>
      <c r="BB14" s="189">
        <f>SUBTOTAL(9,BB8:BB13)</f>
        <v>8463</v>
      </c>
      <c r="BC14" s="189">
        <f>SUBTOTAL(9,BC8:BC13)</f>
        <v>710</v>
      </c>
      <c r="BD14" s="210">
        <f>IF(ISNUMBER(BA14/AZ14),BA14/AZ14," - ")</f>
        <v>0.93060996082820369</v>
      </c>
      <c r="BE14" s="211">
        <f>IF(ISNUMBER(BB14/BA14),BB14/BA14, " - ")</f>
        <v>5.0889957907396273</v>
      </c>
      <c r="BF14" s="211">
        <f>IF(ISNUMBER(BC14/BA14),BC14/BA14, " - ")</f>
        <v>0.42693926638604929</v>
      </c>
      <c r="BG14" s="212">
        <f>IF(ISNUMBER((AY14+AZ14)/BA14),(AY14+AZ14)/BA14," - ")</f>
        <v>6.0889957907396273</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1341</v>
      </c>
      <c r="J16" s="188">
        <v>2028</v>
      </c>
      <c r="K16" s="188">
        <v>2183</v>
      </c>
      <c r="L16" s="188">
        <v>1260</v>
      </c>
      <c r="M16" s="188">
        <v>413</v>
      </c>
      <c r="N16" s="188">
        <v>1121</v>
      </c>
      <c r="O16" s="186">
        <v>23</v>
      </c>
      <c r="P16" s="188">
        <v>85</v>
      </c>
      <c r="Q16" s="188">
        <v>101</v>
      </c>
      <c r="R16" s="188">
        <v>298</v>
      </c>
      <c r="S16" s="188">
        <v>1200</v>
      </c>
      <c r="T16" s="188">
        <v>1879</v>
      </c>
      <c r="U16" s="188">
        <v>1984</v>
      </c>
      <c r="V16" s="188">
        <v>1176</v>
      </c>
      <c r="W16" s="188">
        <v>397</v>
      </c>
      <c r="X16" s="194">
        <v>985</v>
      </c>
      <c r="Y16" s="207">
        <v>0</v>
      </c>
      <c r="Z16" s="188">
        <v>0</v>
      </c>
      <c r="AA16" s="188">
        <v>0</v>
      </c>
      <c r="AB16" s="188">
        <v>0</v>
      </c>
      <c r="AC16" s="188">
        <v>0</v>
      </c>
      <c r="AD16" s="188">
        <v>1</v>
      </c>
      <c r="AE16" s="188">
        <v>1</v>
      </c>
      <c r="AF16" s="194">
        <v>0</v>
      </c>
      <c r="AG16" s="207">
        <v>0</v>
      </c>
      <c r="AH16" s="188">
        <v>0</v>
      </c>
      <c r="AI16" s="188">
        <v>0</v>
      </c>
      <c r="AJ16" s="208">
        <v>0</v>
      </c>
      <c r="AK16" s="187">
        <v>0</v>
      </c>
      <c r="AL16" s="188">
        <v>0</v>
      </c>
      <c r="AM16" s="188">
        <v>0</v>
      </c>
      <c r="AN16" s="194">
        <v>0</v>
      </c>
      <c r="AO16" s="264">
        <v>4</v>
      </c>
      <c r="AP16" s="160">
        <v>4</v>
      </c>
      <c r="AQ16" s="160">
        <v>4</v>
      </c>
      <c r="AR16" s="160">
        <v>4</v>
      </c>
      <c r="AS16" s="350" t="s">
        <v>580</v>
      </c>
      <c r="AT16" s="208" t="s">
        <v>360</v>
      </c>
      <c r="AU16" s="207"/>
      <c r="AV16" s="208"/>
      <c r="AW16" s="207"/>
      <c r="AX16" s="208"/>
      <c r="AY16" s="130">
        <f t="shared" ref="AY16:BB17" si="10">IF(ISNUMBER(IF(D_I="SI",S16,S16+AK16)),IF(D_I="SI",S16,S16+AK16)," - ")</f>
        <v>1200</v>
      </c>
      <c r="AZ16" s="131">
        <f t="shared" si="10"/>
        <v>1879</v>
      </c>
      <c r="BA16" s="131">
        <f t="shared" si="10"/>
        <v>1984</v>
      </c>
      <c r="BB16" s="131">
        <f t="shared" si="10"/>
        <v>1176</v>
      </c>
      <c r="BC16" s="127">
        <f>IF(ISNUMBER(W16),W16," - ")</f>
        <v>397</v>
      </c>
      <c r="BD16" s="128">
        <f>IF(ISNUMBER(BA16/AZ16),BA16/AZ16," - ")</f>
        <v>1.055880787653007</v>
      </c>
      <c r="BE16" s="129">
        <f>IF(ISNUMBER(BB16/BA16),BB16/BA16, " - ")</f>
        <v>0.592741935483871</v>
      </c>
      <c r="BF16" s="129">
        <f>IF(ISNUMBER(BC16/BA16),BC16/BA16, " - ")</f>
        <v>0.20010080645161291</v>
      </c>
      <c r="BG16" s="201">
        <f t="shared" ref="BG16:BG19" si="11">IF(ISNUMBER((AY16+AZ16)/BA16),(AY16+AZ16)/BA16," - ")</f>
        <v>1.5519153225806452</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15</v>
      </c>
      <c r="J17" s="188">
        <v>0</v>
      </c>
      <c r="K17" s="188">
        <v>54</v>
      </c>
      <c r="L17" s="188">
        <v>11</v>
      </c>
      <c r="M17" s="188">
        <v>0</v>
      </c>
      <c r="N17" s="188">
        <v>54</v>
      </c>
      <c r="O17" s="186">
        <v>0</v>
      </c>
      <c r="P17" s="188">
        <v>0</v>
      </c>
      <c r="Q17" s="188">
        <v>0</v>
      </c>
      <c r="R17" s="188">
        <v>12</v>
      </c>
      <c r="S17" s="188">
        <v>16</v>
      </c>
      <c r="T17" s="188">
        <v>0</v>
      </c>
      <c r="U17" s="188">
        <v>0</v>
      </c>
      <c r="V17" s="188">
        <v>16</v>
      </c>
      <c r="W17" s="188">
        <v>0</v>
      </c>
      <c r="X17" s="194">
        <v>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16</v>
      </c>
      <c r="AZ17" s="129">
        <f t="shared" si="10"/>
        <v>0</v>
      </c>
      <c r="BA17" s="129">
        <f t="shared" si="10"/>
        <v>0</v>
      </c>
      <c r="BB17" s="129">
        <f t="shared" si="10"/>
        <v>16</v>
      </c>
      <c r="BC17" s="127">
        <f>IF(ISNUMBER(W17),W17," - ")</f>
        <v>0</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126</v>
      </c>
      <c r="J18" s="188">
        <v>275</v>
      </c>
      <c r="K18" s="188">
        <v>291</v>
      </c>
      <c r="L18" s="188">
        <v>110</v>
      </c>
      <c r="M18" s="188">
        <v>151</v>
      </c>
      <c r="N18" s="188">
        <v>102</v>
      </c>
      <c r="O18" s="188">
        <v>0</v>
      </c>
      <c r="P18" s="188">
        <v>4</v>
      </c>
      <c r="Q18" s="188">
        <v>4</v>
      </c>
      <c r="R18" s="188">
        <v>0</v>
      </c>
      <c r="S18" s="188">
        <v>130</v>
      </c>
      <c r="T18" s="188">
        <v>132</v>
      </c>
      <c r="U18" s="188">
        <v>182</v>
      </c>
      <c r="V18" s="188">
        <v>80</v>
      </c>
      <c r="W18" s="188">
        <v>43</v>
      </c>
      <c r="X18" s="194">
        <v>59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1</v>
      </c>
      <c r="AQ18" s="159">
        <v>1</v>
      </c>
      <c r="AR18" s="160">
        <v>1</v>
      </c>
      <c r="AS18" s="349" t="s">
        <v>856</v>
      </c>
      <c r="AT18" s="214"/>
      <c r="AU18" s="205"/>
      <c r="AV18" s="214"/>
      <c r="AW18" s="205"/>
      <c r="AX18" s="214"/>
      <c r="AY18" s="130">
        <f t="shared" ref="AY18:BB19" si="15">IF(ISNUMBER(S18),S18," - ")</f>
        <v>130</v>
      </c>
      <c r="AZ18" s="131">
        <f t="shared" si="15"/>
        <v>132</v>
      </c>
      <c r="BA18" s="131">
        <f t="shared" si="15"/>
        <v>182</v>
      </c>
      <c r="BB18" s="131">
        <f t="shared" si="15"/>
        <v>80</v>
      </c>
      <c r="BC18" s="127">
        <f>IF(ISNUMBER(W18),W18," - ")</f>
        <v>43</v>
      </c>
      <c r="BD18" s="128">
        <f>IF(ISNUMBER(BA18/AZ18),BA18/AZ18," - ")</f>
        <v>1.3787878787878789</v>
      </c>
      <c r="BE18" s="129">
        <f>IF(ISNUMBER(BB18/BA18),BB18/BA18, " - ")</f>
        <v>0.43956043956043955</v>
      </c>
      <c r="BF18" s="129">
        <f>IF(ISNUMBER(BC18/BA18),BC18/BA18, " - ")</f>
        <v>0.23626373626373626</v>
      </c>
      <c r="BG18" s="201">
        <f>IF(ISNUMBER((AY18+AZ18)/BA18),(AY18+AZ18)/BA18," - ")</f>
        <v>1.4395604395604396</v>
      </c>
      <c r="BH18" s="160">
        <v>2</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1482</v>
      </c>
      <c r="J20" s="189">
        <f t="shared" si="16"/>
        <v>2303</v>
      </c>
      <c r="K20" s="189">
        <f t="shared" si="16"/>
        <v>2528</v>
      </c>
      <c r="L20" s="189">
        <f t="shared" si="16"/>
        <v>1381</v>
      </c>
      <c r="M20" s="189">
        <f t="shared" si="16"/>
        <v>564</v>
      </c>
      <c r="N20" s="189">
        <f t="shared" si="16"/>
        <v>1277</v>
      </c>
      <c r="O20" s="189">
        <f t="shared" si="16"/>
        <v>23</v>
      </c>
      <c r="P20" s="189">
        <f t="shared" si="16"/>
        <v>89</v>
      </c>
      <c r="Q20" s="189">
        <f t="shared" si="16"/>
        <v>105</v>
      </c>
      <c r="R20" s="189">
        <f t="shared" si="16"/>
        <v>310</v>
      </c>
      <c r="S20" s="189">
        <f t="shared" si="16"/>
        <v>1346</v>
      </c>
      <c r="T20" s="189">
        <f t="shared" si="16"/>
        <v>2011</v>
      </c>
      <c r="U20" s="189">
        <f t="shared" si="16"/>
        <v>2166</v>
      </c>
      <c r="V20" s="189">
        <f t="shared" si="16"/>
        <v>1272</v>
      </c>
      <c r="W20" s="189">
        <f t="shared" si="16"/>
        <v>440</v>
      </c>
      <c r="X20" s="189">
        <f t="shared" si="16"/>
        <v>1044</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1346</v>
      </c>
      <c r="AZ20" s="189">
        <f>SUBTOTAL(9,AZ15:AZ19)</f>
        <v>2011</v>
      </c>
      <c r="BA20" s="189">
        <f>SUBTOTAL(9,BA15:BA19)</f>
        <v>2166</v>
      </c>
      <c r="BB20" s="189">
        <f>SUBTOTAL(9,BB15:BB19)</f>
        <v>1272</v>
      </c>
      <c r="BC20" s="189">
        <f>SUBTOTAL(9,BC15:BC19)</f>
        <v>440</v>
      </c>
      <c r="BD20" s="210">
        <f>IF(ISNUMBER(BA20/AZ20),BA20/AZ20," - ")</f>
        <v>1.0770760815514668</v>
      </c>
      <c r="BE20" s="211">
        <f>IF(ISNUMBER(BB20/BA20),BB20/BA20, " - ")</f>
        <v>0.58725761772853191</v>
      </c>
      <c r="BF20" s="211">
        <f>IF(ISNUMBER(BC20/BA20),BC20/BA20, " - ")</f>
        <v>0.20313942751615882</v>
      </c>
      <c r="BG20" s="212">
        <f>IF(ISNUMBER((AY20+AZ20)/BA20),(AY20+AZ20)/BA20," - ")</f>
        <v>1.5498614958448753</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9694</v>
      </c>
      <c r="J21" s="136">
        <f t="shared" si="19"/>
        <v>3946</v>
      </c>
      <c r="K21" s="136">
        <f t="shared" si="19"/>
        <v>3894</v>
      </c>
      <c r="L21" s="136">
        <f t="shared" si="19"/>
        <v>9627</v>
      </c>
      <c r="M21" s="136">
        <f t="shared" si="19"/>
        <v>799</v>
      </c>
      <c r="N21" s="136">
        <f t="shared" si="19"/>
        <v>1937</v>
      </c>
      <c r="O21" s="136">
        <f t="shared" si="19"/>
        <v>784</v>
      </c>
      <c r="P21" s="136">
        <f t="shared" si="19"/>
        <v>518</v>
      </c>
      <c r="Q21" s="136">
        <f t="shared" si="19"/>
        <v>286</v>
      </c>
      <c r="R21" s="136">
        <f t="shared" si="19"/>
        <v>8688</v>
      </c>
      <c r="S21" s="136">
        <f t="shared" si="19"/>
        <v>9397</v>
      </c>
      <c r="T21" s="136">
        <f t="shared" si="19"/>
        <v>3628</v>
      </c>
      <c r="U21" s="136">
        <f t="shared" si="19"/>
        <v>3734</v>
      </c>
      <c r="V21" s="136">
        <f t="shared" si="19"/>
        <v>9372</v>
      </c>
      <c r="W21" s="136">
        <f t="shared" si="19"/>
        <v>807</v>
      </c>
      <c r="X21" s="136">
        <f t="shared" si="19"/>
        <v>1738</v>
      </c>
      <c r="Y21" s="136">
        <f t="shared" si="19"/>
        <v>272</v>
      </c>
      <c r="Z21" s="136">
        <f t="shared" si="19"/>
        <v>138</v>
      </c>
      <c r="AA21" s="136">
        <f t="shared" si="19"/>
        <v>170</v>
      </c>
      <c r="AB21" s="136">
        <f t="shared" si="19"/>
        <v>250</v>
      </c>
      <c r="AC21" s="136">
        <f t="shared" si="19"/>
        <v>0</v>
      </c>
      <c r="AD21" s="136">
        <f t="shared" si="19"/>
        <v>1</v>
      </c>
      <c r="AE21" s="136">
        <f t="shared" si="19"/>
        <v>1</v>
      </c>
      <c r="AF21" s="136">
        <f t="shared" si="19"/>
        <v>0</v>
      </c>
      <c r="AG21" s="136">
        <f t="shared" si="19"/>
        <v>288</v>
      </c>
      <c r="AH21" s="136">
        <f t="shared" si="19"/>
        <v>170</v>
      </c>
      <c r="AI21" s="136">
        <f t="shared" si="19"/>
        <v>95</v>
      </c>
      <c r="AJ21" s="136">
        <f t="shared" si="19"/>
        <v>363</v>
      </c>
      <c r="AK21" s="136">
        <f t="shared" si="19"/>
        <v>0</v>
      </c>
      <c r="AL21" s="136">
        <f t="shared" si="19"/>
        <v>0</v>
      </c>
      <c r="AM21" s="136">
        <f t="shared" si="19"/>
        <v>0</v>
      </c>
      <c r="AN21" s="215">
        <f t="shared" si="19"/>
        <v>0</v>
      </c>
      <c r="AO21" s="216">
        <v>11</v>
      </c>
      <c r="AP21" s="216">
        <v>10</v>
      </c>
      <c r="AQ21" s="216">
        <v>10</v>
      </c>
      <c r="AR21" s="216">
        <v>10</v>
      </c>
      <c r="AS21" s="158">
        <f t="shared" si="19"/>
        <v>0</v>
      </c>
      <c r="AT21" s="158">
        <f t="shared" si="19"/>
        <v>0</v>
      </c>
      <c r="AU21" s="216"/>
      <c r="AV21" s="217"/>
      <c r="AW21" s="216"/>
      <c r="AX21" s="217"/>
      <c r="AY21" s="135">
        <f>SUBTOTAL(9,AY9:AY20)</f>
        <v>9685</v>
      </c>
      <c r="AZ21" s="136">
        <f>SUBTOTAL(9,AZ9:AZ20)</f>
        <v>3798</v>
      </c>
      <c r="BA21" s="136">
        <f>SUBTOTAL(9,BA9:BA20)</f>
        <v>3829</v>
      </c>
      <c r="BB21" s="136">
        <f>SUBTOTAL(9,BB9:BB20)</f>
        <v>9735</v>
      </c>
      <c r="BC21" s="137">
        <f>SUBTOTAL(9,BC9:BC20)</f>
        <v>1150</v>
      </c>
      <c r="BD21" s="218">
        <f>IF(ISNUMBER(BA21/AZ21),BA21/AZ21," - ")</f>
        <v>1.0081621906266456</v>
      </c>
      <c r="BE21" s="215">
        <f>IF(ISNUMBER(BB21/BA21),BB21/BA21, " - ")</f>
        <v>2.542439279185166</v>
      </c>
      <c r="BF21" s="215">
        <f>IF(ISNUMBER(BC21/BA21),BC21/BA21, " - ")</f>
        <v>0.30033951423348132</v>
      </c>
      <c r="BG21" s="137">
        <f>IF(ISNUMBER((AY21+AZ21)/BA21),(AY21+AZ21)/BA21," - ")</f>
        <v>3.5212849307913294</v>
      </c>
      <c r="BH21" s="216">
        <f>SUBTOTAL(9,BH9:BH20)</f>
        <v>13</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rVuCgeyWCZtgl0jQmy4i7HvHDUxOSAk0u/L4ZuVLlDnvSvAQN5b5FQ7TeH04ZwJ1jlnNuCibBkOx05gnY7qcA==" saltValue="PtokYQptmqziH3QRufJc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JbQ68RVRxf25bxEOxVxeTKnJVxMG+zKHHb+N7w96bcNm2LDCrd64tnO2IZNtLnTLht74APWnaMw+qGBclh5vA==" saltValue="skUMMo7v0r7LxiGJFnxw1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TORREVIEJA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138</v>
      </c>
      <c r="O9" s="504"/>
      <c r="P9" s="504"/>
      <c r="Q9" s="502">
        <f>IF(ISNUMBER(Datos!P9),Datos!P9,0)</f>
        <v>427</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170</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250</v>
      </c>
      <c r="AI9" s="504" t="str">
        <f>IF(ISNUMBER(Datos!CD9),Datos!CD9,"-")</f>
        <v>-</v>
      </c>
      <c r="AJ9" s="504" t="str">
        <f>IF(ISNUMBER(Datos!EN9),Datos!EN9," - ")</f>
        <v xml:space="preserve"> - </v>
      </c>
      <c r="AK9" s="504"/>
      <c r="AL9" s="505"/>
      <c r="AM9" s="672">
        <f>IF(ISNUMBER(Datos!R9),Datos!R9," - ")</f>
        <v>8331</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229</v>
      </c>
      <c r="BD9" s="620">
        <f>IF(ISNUMBER(Datos!N9),Datos!N9," - ")</f>
        <v>660</v>
      </c>
      <c r="BE9" s="620" t="str">
        <f>IF(ISNUMBER(Datos!BW9),Datos!BW9," - ")</f>
        <v xml:space="preserve"> - </v>
      </c>
      <c r="BF9" s="668" t="str">
        <f>IF(ISNUMBER(Datos!BX9),Datos!BX9," - ")</f>
        <v xml:space="preserve"> - </v>
      </c>
      <c r="BG9" s="669">
        <f>IF(ISNUMBER(IF(J_V="SI",Datos!K9/Datos!J9,(Datos!K9+Datos!AA9)/(Datos!J9+Datos!Z9))),IF(J_V="SI",Datos!K9/Datos!J9,(Datos!K9+Datos!AA9)/(Datos!J9+Datos!Z9))," - ")</f>
        <v>0.86431014823261121</v>
      </c>
      <c r="BH9" s="670">
        <f>IF(ISNUMBER(((IF(J_V="SI",Datos!L9/Datos!K9,(Datos!L9+Datos!AB9)/(Datos!K9+Datos!AA9)))*11)/factor_trimestre),((IF(J_V="SI",Datos!L9/Datos!K9,(Datos!L9+Datos!AB9)/(Datos!K9+Datos!AA9)))*11)/factor_trimestre," - ")</f>
        <v>16.66622691292876</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3.1830567252910578E-2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1</v>
      </c>
      <c r="F10" s="507">
        <f>IF(ISNUMBER(Datos!L10+Datos!K10-Datos!J10),Datos!L10+Datos!K10-Datos!J10," - ")</f>
        <v>67</v>
      </c>
      <c r="G10" s="498">
        <f>IF(ISNUMBER(Datos!I10),Datos!I10," - ")</f>
        <v>67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20</v>
      </c>
      <c r="AC10" s="502">
        <f>IF(ISNUMBER(Datos!Q10),Datos!Q10," - ")</f>
        <v>11</v>
      </c>
      <c r="AD10" s="504"/>
      <c r="AE10" s="517"/>
      <c r="AF10" s="506">
        <f>IF(ISNUMBER(Datos!L10),Datos!L10,"-")</f>
        <v>74</v>
      </c>
      <c r="AG10" s="504"/>
      <c r="AH10" s="504"/>
      <c r="AI10" s="504"/>
      <c r="AJ10" s="504"/>
      <c r="AK10" s="504"/>
      <c r="AL10" s="505"/>
      <c r="AM10" s="672">
        <f>IF(ISNUMBER(Datos!R10),Datos!R10," - ")</f>
        <v>47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0</v>
      </c>
      <c r="BE10" s="620" t="str">
        <f>IF(ISNUMBER(Datos!BW10),Datos!BW10," - ")</f>
        <v xml:space="preserve"> - </v>
      </c>
      <c r="BF10" s="668" t="str">
        <f>IF(ISNUMBER(Datos!BX10),Datos!BX10," - ")</f>
        <v xml:space="preserve"> - </v>
      </c>
      <c r="BG10" s="669">
        <f>IF(ISNUMBER(Datos!K10/Datos!J10),Datos!K10/Datos!J10," - ")</f>
        <v>0.7407407407407407</v>
      </c>
      <c r="BH10" s="670">
        <f>IF(ISNUMBER(((Datos!L10/Datos!K10)*11)/factor_trimestre),((Datos!L10/Datos!K10)*11)/factor_trimestre," - ")</f>
        <v>11.100000000000001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-0.16071428571428573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67</v>
      </c>
      <c r="G14" s="1045">
        <f t="shared" si="1"/>
        <v>67</v>
      </c>
      <c r="H14" s="1046">
        <f t="shared" si="1"/>
        <v>0</v>
      </c>
      <c r="I14" s="1045">
        <f t="shared" si="1"/>
        <v>0</v>
      </c>
      <c r="J14" s="1014">
        <f t="shared" si="1"/>
        <v>0</v>
      </c>
      <c r="K14" s="1014">
        <f t="shared" si="1"/>
        <v>0</v>
      </c>
      <c r="L14" s="1046">
        <f t="shared" si="1"/>
        <v>0</v>
      </c>
      <c r="M14" s="1046">
        <f t="shared" si="1"/>
        <v>0</v>
      </c>
      <c r="N14" s="1046">
        <f t="shared" si="1"/>
        <v>138</v>
      </c>
      <c r="O14" s="1047">
        <f t="shared" si="1"/>
        <v>0</v>
      </c>
      <c r="P14" s="1047">
        <f t="shared" si="1"/>
        <v>0</v>
      </c>
      <c r="Q14" s="1046">
        <f t="shared" si="1"/>
        <v>429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20</v>
      </c>
      <c r="AC14" s="1046">
        <f t="shared" si="2"/>
        <v>181</v>
      </c>
      <c r="AD14" s="1046">
        <f t="shared" si="2"/>
        <v>0</v>
      </c>
      <c r="AE14" s="1046">
        <f t="shared" si="2"/>
        <v>0</v>
      </c>
      <c r="AF14" s="1046">
        <f t="shared" si="2"/>
        <v>74</v>
      </c>
      <c r="AG14" s="1046">
        <f t="shared" si="2"/>
        <v>0</v>
      </c>
      <c r="AH14" s="1046">
        <f t="shared" si="2"/>
        <v>250</v>
      </c>
      <c r="AI14" s="1046">
        <f t="shared" si="2"/>
        <v>0</v>
      </c>
      <c r="AJ14" s="1046">
        <f t="shared" si="2"/>
        <v>0</v>
      </c>
      <c r="AK14" s="1046">
        <f t="shared" si="2"/>
        <v>0</v>
      </c>
      <c r="AL14" s="1046">
        <f t="shared" si="2"/>
        <v>0</v>
      </c>
      <c r="AM14" s="1046">
        <f t="shared" si="2"/>
        <v>8378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235</v>
      </c>
      <c r="BD14" s="1046">
        <f t="shared" si="2"/>
        <v>660</v>
      </c>
      <c r="BE14" s="1046">
        <f t="shared" si="2"/>
        <v>0</v>
      </c>
      <c r="BF14" s="1046">
        <f t="shared" si="2"/>
        <v>0</v>
      </c>
      <c r="BG14" s="1046">
        <f>IF(ISNUMBER(Datos!K14/Datos!J14),Datos!K14/Datos!J14," - ")</f>
        <v>0.83140596469872186</v>
      </c>
      <c r="BH14" s="1050">
        <f>IF(ISNUMBER(((Datos!L14/Datos!K14)*11)/factor_trimestre),((Datos!L14/Datos!K14)*11)/factor_trimestre," - ")</f>
        <v>18.109809663250363</v>
      </c>
      <c r="BI14" s="1046">
        <f>IF(ISNUMBER('Resol  Asuntos'!D14/NºAsuntos!G14),'Resol  Asuntos'!D14/NºAsuntos!G14," - ")</f>
        <v>0.15299479166666666</v>
      </c>
      <c r="BJ14" s="1046" t="str">
        <f>IF(ISNUMBER(Datos!CI14/Datos!CJ14),Datos!CI14/Datos!CJ14," - ")</f>
        <v xml:space="preserve"> - </v>
      </c>
      <c r="BK14" s="1046">
        <f>SUBTOTAL(9,BK8:BK13)</f>
        <v>0</v>
      </c>
      <c r="BL14" s="1046">
        <f>IF(ISNUMBER((I14-AB14+L14)/(F14)),(I14-AB14+L14)/(F14)," - ")</f>
        <v>-0.29850746268656714</v>
      </c>
      <c r="BM14" s="1051">
        <f>SUBTOTAL(9,BM9:BM13)</f>
        <v>-0.12888371846137514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1415</v>
      </c>
      <c r="G16" s="651">
        <f>IF(ISNUMBER(IF(D_I="SI",Datos!I16,Datos!I16+Datos!AC16)),IF(D_I="SI",Datos!I16,Datos!I16+Datos!AC16)," - ")</f>
        <v>1341</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85</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2183</v>
      </c>
      <c r="AC16" s="231">
        <f>IF(ISNUMBER(Datos!Q16),Datos!Q16," - ")</f>
        <v>101</v>
      </c>
      <c r="AD16" s="344"/>
      <c r="AE16" s="516"/>
      <c r="AF16" s="649">
        <f>IF(ISNUMBER(IF(D_I="SI",Datos!L16,Datos!L16+Datos!AF16)),IF(D_I="SI",Datos!L16,Datos!L16+Datos!AF16)," - ")</f>
        <v>1260</v>
      </c>
      <c r="AG16" s="344"/>
      <c r="AH16" s="344"/>
      <c r="AI16" s="344"/>
      <c r="AJ16" s="504"/>
      <c r="AK16" s="344"/>
      <c r="AL16" s="500"/>
      <c r="AM16" s="345">
        <f>IF(ISNUMBER(Datos!R16),Datos!R16," - ")</f>
        <v>298</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413</v>
      </c>
      <c r="BD16" s="234">
        <f>IF(ISNUMBER(Datos!N16),Datos!N16," - ")</f>
        <v>1121</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1.0764299802761341</v>
      </c>
      <c r="BH16" s="670">
        <f>IF(ISNUMBER(((IF(D_I="SI",Datos!L16/Datos!K16,(Datos!L16+Datos!AF16)/(Datos!K16+Datos!AE16)))*11)/factor_trimestre),((IF(D_I="SI",Datos!L16/Datos!K16,(Datos!L16+Datos!AF16)/(Datos!K16+Datos!AE16)))*11)/factor_trimestre," - ")</f>
        <v>1.7315620705451213</v>
      </c>
      <c r="BI16" s="248">
        <f>IF(ISNUMBER('Resol  Asuntos'!D16/NºAsuntos!G16),'Resol  Asuntos'!D16/NºAsuntos!G16," - ")</f>
        <v>0.1891891891891892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65</v>
      </c>
      <c r="G17" s="651">
        <f>IF(ISNUMBER(IF(D_I="SI",Datos!I17,Datos!I17+Datos!AC17)),IF(D_I="SI",Datos!I17,Datos!I17+Datos!AC17)," - ")</f>
        <v>15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54</v>
      </c>
      <c r="AC17" s="231">
        <f>IF(ISNUMBER(Datos!Q17),Datos!Q17," - ")</f>
        <v>0</v>
      </c>
      <c r="AD17" s="344"/>
      <c r="AE17" s="516"/>
      <c r="AF17" s="649">
        <f>IF(ISNUMBER(IF(D_I="SI",Datos!L17,Datos!L17+Datos!AF17)),IF(D_I="SI",Datos!L17,Datos!L17+Datos!AF17)," - ")</f>
        <v>11</v>
      </c>
      <c r="AG17" s="344"/>
      <c r="AH17" s="344"/>
      <c r="AI17" s="344"/>
      <c r="AJ17" s="504"/>
      <c r="AK17" s="344"/>
      <c r="AL17" s="500"/>
      <c r="AM17" s="345">
        <f>IF(ISNUMBER(Datos!R17),Datos!R17," - ")</f>
        <v>12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54</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f>IF(ISNUMBER(((IF(D_I="SI",Datos!L17/Datos!K17,(Datos!L17+Datos!AF17)/(Datos!K17+Datos!AE17)))*11)/factor_trimestre),((IF(D_I="SI",Datos!L17/Datos!K17,(Datos!L17+Datos!AF17)/(Datos!K17+Datos!AE17)))*11)/factor_trimestre," - ")</f>
        <v>0.61111111111111105</v>
      </c>
      <c r="BI17" s="248">
        <f>IF(ISNUMBER('Resol  Asuntos'!D17/NºAsuntos!G17),'Resol  Asuntos'!D17/NºAsuntos!G17," - ")</f>
        <v>0</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126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291</v>
      </c>
      <c r="AC18" s="502">
        <f>IF(ISNUMBER(Datos!Q18),Datos!Q18," - ")</f>
        <v>4</v>
      </c>
      <c r="AD18" s="504"/>
      <c r="AE18" s="516"/>
      <c r="AF18" s="506">
        <f>IF(ISNUMBER(Datos!L18),Datos!L18,"-")</f>
        <v>110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151</v>
      </c>
      <c r="BD18" s="620">
        <f>IF(ISNUMBER(Datos!N18),Datos!N18," - ")</f>
        <v>102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1.0581818181818181</v>
      </c>
      <c r="BH18" s="670">
        <f>IF(ISNUMBER(((IF(D_I="SI",Datos!L18/Datos!K18,(Datos!L18+Datos!AF18)/(Datos!K18+Datos!AE18)))*11)/factor_trimestre),((IF(D_I="SI",Datos!L18/Datos!K18,(Datos!L18+Datos!AF18)/(Datos!K18+Datos!AE18)))*11)/factor_trimestre," - ")</f>
        <v>1.134020618556701</v>
      </c>
      <c r="BI18" s="669">
        <f>IF(ISNUMBER('Resol  Asuntos'!D18/NºAsuntos!G18),'Resol  Asuntos'!D18/NºAsuntos!G18," - ")</f>
        <v>0.51890034364261173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1480</v>
      </c>
      <c r="G20" s="1045">
        <f>SUBTOTAL(9,G16:G19)</f>
        <v>1482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2528</v>
      </c>
      <c r="AC20" s="1046">
        <f t="shared" si="5"/>
        <v>105</v>
      </c>
      <c r="AD20" s="1046">
        <f t="shared" si="5"/>
        <v>0</v>
      </c>
      <c r="AE20" s="1046">
        <f t="shared" si="5"/>
        <v>0</v>
      </c>
      <c r="AF20" s="1046">
        <f t="shared" si="5"/>
        <v>1381</v>
      </c>
      <c r="AG20" s="1046">
        <f t="shared" si="5"/>
        <v>0</v>
      </c>
      <c r="AH20" s="1046">
        <f t="shared" si="5"/>
        <v>0</v>
      </c>
      <c r="AI20" s="1046">
        <f t="shared" si="5"/>
        <v>0</v>
      </c>
      <c r="AJ20" s="1046">
        <f t="shared" si="5"/>
        <v>0</v>
      </c>
      <c r="AK20" s="1046">
        <f t="shared" si="5"/>
        <v>0</v>
      </c>
      <c r="AL20" s="1046">
        <f t="shared" si="5"/>
        <v>0</v>
      </c>
      <c r="AM20" s="1046">
        <f t="shared" si="5"/>
        <v>310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564</v>
      </c>
      <c r="BD20" s="1046">
        <f t="shared" si="5"/>
        <v>1277</v>
      </c>
      <c r="BE20" s="1046">
        <f t="shared" si="5"/>
        <v>0</v>
      </c>
      <c r="BF20" s="1046">
        <f t="shared" si="5"/>
        <v>0</v>
      </c>
      <c r="BG20" s="1046">
        <f>IF(ISNUMBER(Datos!K20/Datos!J20),Datos!K20/Datos!J20," - ")</f>
        <v>1.0976986539296569</v>
      </c>
      <c r="BH20" s="1050">
        <f>IF(ISNUMBER(((Datos!L20/Datos!K20)*11)/factor_trimestre),((Datos!L20/Datos!K20)*11)/factor_trimestre," - ")</f>
        <v>1.6388449367088607</v>
      </c>
      <c r="BI20" s="1046">
        <f>SUBTOTAL(9,BI16:BI19)</f>
        <v>0.70808953283180087</v>
      </c>
      <c r="BJ20" s="1046">
        <f>SUBTOTAL(9,BJ16:BJ19)</f>
        <v>0</v>
      </c>
      <c r="BK20" s="1046">
        <f>SUBTOTAL(9,BK16:BK19)</f>
        <v>0</v>
      </c>
      <c r="BL20" s="1046">
        <f>IF(ISNUMBER((I20-AB20+L20)/(F20)),(I20-AB20+L20)/(F20)," - ")</f>
        <v>-1.7081081081081082</v>
      </c>
      <c r="BM20" s="1052">
        <f>IF(ISNUMBER((Datos!P20-Datos!Q20)/(Datos!R20-Datos!P20+Datos!Q20)),(Datos!P20-Datos!Q20)/(Datos!R20-Datos!P20+Datos!Q20)," - ")</f>
        <v>-4.9079754601226995E-2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11</v>
      </c>
      <c r="F21" s="967">
        <f t="shared" si="7"/>
        <v>1547</v>
      </c>
      <c r="G21" s="967">
        <f t="shared" si="7"/>
        <v>1549</v>
      </c>
      <c r="H21" s="969">
        <f t="shared" si="7"/>
        <v>0</v>
      </c>
      <c r="I21" s="967">
        <f t="shared" si="7"/>
        <v>0</v>
      </c>
      <c r="J21" s="969">
        <f t="shared" si="7"/>
        <v>0</v>
      </c>
      <c r="K21" s="969">
        <f t="shared" si="7"/>
        <v>0</v>
      </c>
      <c r="L21" s="1028">
        <f t="shared" si="7"/>
        <v>0</v>
      </c>
      <c r="M21" s="1028">
        <f t="shared" si="7"/>
        <v>0</v>
      </c>
      <c r="N21" s="1028">
        <f t="shared" si="7"/>
        <v>138</v>
      </c>
      <c r="O21" s="1028">
        <f t="shared" si="7"/>
        <v>0</v>
      </c>
      <c r="P21" s="1028">
        <f t="shared" si="7"/>
        <v>0</v>
      </c>
      <c r="Q21" s="969">
        <f t="shared" si="7"/>
        <v>518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2548</v>
      </c>
      <c r="AC21" s="968">
        <f t="shared" si="8"/>
        <v>286</v>
      </c>
      <c r="AD21" s="968">
        <f t="shared" si="8"/>
        <v>0</v>
      </c>
      <c r="AE21" s="968">
        <f t="shared" si="8"/>
        <v>0</v>
      </c>
      <c r="AF21" s="975">
        <f t="shared" si="8"/>
        <v>1455</v>
      </c>
      <c r="AG21" s="975">
        <f t="shared" si="8"/>
        <v>0</v>
      </c>
      <c r="AH21" s="975">
        <f t="shared" si="8"/>
        <v>250</v>
      </c>
      <c r="AI21" s="975">
        <f t="shared" si="8"/>
        <v>0</v>
      </c>
      <c r="AJ21" s="968">
        <f t="shared" si="8"/>
        <v>0</v>
      </c>
      <c r="AK21" s="975">
        <f t="shared" si="8"/>
        <v>0</v>
      </c>
      <c r="AL21" s="975">
        <f t="shared" si="8"/>
        <v>0</v>
      </c>
      <c r="AM21" s="975">
        <f t="shared" si="8"/>
        <v>8688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799</v>
      </c>
      <c r="BD21" s="967">
        <f t="shared" si="8"/>
        <v>1937</v>
      </c>
      <c r="BE21" s="967">
        <f t="shared" si="8"/>
        <v>0</v>
      </c>
      <c r="BF21" s="977">
        <f t="shared" si="8"/>
        <v>0</v>
      </c>
      <c r="BG21" s="1062">
        <f>IF(ISNUMBER(Datos!K21/Datos!J21),Datos!K21/Datos!J21," - ")</f>
        <v>0.98682209832742018</v>
      </c>
      <c r="BH21" s="1062">
        <f>IF(ISNUMBER(((Datos!L21/Datos!K21)*11)/factor_trimestre),((Datos!L21/Datos!K21)*11)/factor_trimestre," - ")</f>
        <v>7.416795069337442</v>
      </c>
      <c r="BI21" s="960">
        <f>IF(ISNUMBER(Datos!J21/Datos!I21),Datos!J21/Datos!I21," - ")</f>
        <v>0.40705591087270476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-1.6470588235294117</v>
      </c>
      <c r="BM21" s="1036">
        <f>IF(ISNUMBER((Datos!P21-Datos!Q21+R21)/(Datos!R21-Datos!P21+Datos!Q21-R21)),(Datos!P21-Datos!Q21+R21)/(Datos!R21-Datos!P21+Datos!Q21-R21)," - ")</f>
        <v>2.7436140018921477E-2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516.33333333333337</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2.4494897427831779</v>
      </c>
      <c r="F23" s="600">
        <f>IF(ISNUMBER(STDEV(F8:F20)),STDEV(F8:F20),"-")</f>
        <v>756.84555888239174</v>
      </c>
      <c r="G23" s="601">
        <f>IF(ISNUMBER(STDEV(G8:G20)),STDEV(G8:G20),"-")</f>
        <v>695.71306345839639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1176.1349695790302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205.89942066108742</v>
      </c>
      <c r="BD23" s="600"/>
      <c r="BE23" s="600">
        <f>IF(ISNUMBER(STDEV(BE8:BE20)),STDEV(BE8:BE20),"-")</f>
        <v>0</v>
      </c>
      <c r="BF23" s="605">
        <f>IF(ISNUMBER(STDEV(BF8:BF20)),STDEV(BF8:BF20),"-")</f>
        <v>0</v>
      </c>
      <c r="BG23" s="915">
        <f>IF(ISNUMBER(STDEV(BG8:BG20)),STDEV(BG8:BG20),"-")</f>
        <v>0.15135183604168337</v>
      </c>
      <c r="BH23" s="919">
        <f>IF(ISNUMBER(STDEV(BH8:BH20)),STDEV(BH8:BH20),"-")</f>
        <v>7.7977905636700626</v>
      </c>
      <c r="BI23" s="254">
        <f>IF(ISNUMBER(STDEV(BI8:BI20)),STDEV(BI8:BI20),"-")</f>
        <v>0.29042511505369906</v>
      </c>
      <c r="BJ23" s="235" t="str">
        <f>IF(ISNUMBER(BL23/BM23),BL23/BM23," - ")</f>
        <v xml:space="preserve"> - </v>
      </c>
      <c r="BK23" s="627"/>
      <c r="BL23" s="608">
        <f>IF(ISNUMBER(STDEV(BL8:BL20)),STDEV(BL8:BL20),"-")</f>
        <v>0.9967381751425054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u04BDGg7ky50Rvd0TkLht0Boozd4gNMKPJ032TMFlctRmRQUTyUnp2Yk9tAAzYu2p5Dc3yPpNk8ukakHch/nA==" saltValue="o44gQQ8L5nGo9owpAW0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TORREVIEJA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427</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170</v>
      </c>
      <c r="AA9" s="506" t="str">
        <f>IF(ISNUMBER(IF(J_V="SI",Datos!L9,Datos!L9+Datos!AB9)-IF(Monitorios="SI",Datos!CD9,0)),
                          IF(J_V="SI",Datos!L9,Datos!L9+Datos!AB9)-IF(Monitorios="SI",Datos!CD9,0),
                          " - ")</f>
        <v xml:space="preserve"> - </v>
      </c>
      <c r="AB9" s="504"/>
      <c r="AC9" s="504"/>
      <c r="AD9" s="517"/>
      <c r="AE9" s="517">
        <f>IF(ISNUMBER(Datos!R9),Datos!R9," - ")</f>
        <v>8331</v>
      </c>
      <c r="AF9" s="620" t="str">
        <f>IF(ISNUMBER(Datos!BV9),Datos!BV9," - ")</f>
        <v xml:space="preserve"> - </v>
      </c>
      <c r="AG9" s="507" t="str">
        <f>IF(ISNUMBER(Datos!DV9),Datos!DV9," - ")</f>
        <v xml:space="preserve"> - </v>
      </c>
      <c r="AH9" s="508"/>
      <c r="AI9" s="509"/>
      <c r="AJ9" s="507">
        <f>IF(ISNUMBER(Datos!M9),Datos!M9," - ")</f>
        <v>229</v>
      </c>
      <c r="AK9" s="620">
        <f>IF(ISNUMBER(Datos!N9),Datos!N9," - ")</f>
        <v>660</v>
      </c>
      <c r="AL9" s="620" t="str">
        <f>IF(ISNUMBER(Datos!BW9),Datos!BW9," - ")</f>
        <v xml:space="preserve"> - </v>
      </c>
      <c r="AM9" s="668" t="str">
        <f>IF(ISNUMBER(Datos!BX9),Datos!BX9," - ")</f>
        <v xml:space="preserve"> - </v>
      </c>
      <c r="AN9" s="669"/>
      <c r="AO9" s="670">
        <f>IF(ISNUMBER(((NºAsuntos!I9/NºAsuntos!G9)*11)/factor_trimestre),((NºAsuntos!I9/NºAsuntos!G9)*11)/factor_trimestre," - ")</f>
        <v>16.66622691292876</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3.1830567252910578E-2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1</v>
      </c>
      <c r="F10" s="507">
        <f>IF(ISNUMBER(Datos!L10+Datos!K10-Datos!J10),Datos!L10+Datos!K10-Datos!J10," - ")</f>
        <v>67</v>
      </c>
      <c r="G10" s="507">
        <f>IF(ISNUMBER(Datos!I10),Datos!I10," - ")</f>
        <v>67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20</v>
      </c>
      <c r="Z10" s="704">
        <f>IF(ISNUMBER(Datos!Q10),Datos!Q10," - ")</f>
        <v>11</v>
      </c>
      <c r="AA10" s="506">
        <f>IF(ISNUMBER(Datos!L10),Datos!L10,"-")</f>
        <v>74</v>
      </c>
      <c r="AB10" s="504"/>
      <c r="AC10" s="504"/>
      <c r="AD10" s="517"/>
      <c r="AE10" s="517">
        <f>IF(ISNUMBER(Datos!R10),Datos!R10," - ")</f>
        <v>47</v>
      </c>
      <c r="AF10" s="620" t="str">
        <f>IF(ISNUMBER(Datos!BV10),Datos!BV10," - ")</f>
        <v xml:space="preserve"> - </v>
      </c>
      <c r="AG10" s="507" t="str">
        <f>IF(ISNUMBER(Datos!DV10),Datos!DV10," - ")</f>
        <v xml:space="preserve"> - </v>
      </c>
      <c r="AH10" s="508"/>
      <c r="AI10" s="509"/>
      <c r="AJ10" s="507">
        <f>IF(ISNUMBER(Datos!M10),Datos!M10," - ")</f>
        <v>6</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11.100000000000001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-0.16071428571428573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67</v>
      </c>
      <c r="G14" s="1045">
        <f>SUBTOTAL(9,G8:G13)</f>
        <v>67</v>
      </c>
      <c r="H14" s="1055"/>
      <c r="I14" s="1045">
        <f t="shared" ref="I14:N14" si="1">SUBTOTAL(9,I8:I13)</f>
        <v>0</v>
      </c>
      <c r="J14" s="1014">
        <f t="shared" si="1"/>
        <v>0</v>
      </c>
      <c r="K14" s="1055">
        <f t="shared" si="1"/>
        <v>0</v>
      </c>
      <c r="L14" s="1055">
        <f t="shared" si="1"/>
        <v>0</v>
      </c>
      <c r="M14" s="1055">
        <f t="shared" si="1"/>
        <v>0</v>
      </c>
      <c r="N14" s="1055">
        <f t="shared" si="1"/>
        <v>429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20</v>
      </c>
      <c r="Z14" s="1054">
        <f t="shared" si="3"/>
        <v>181</v>
      </c>
      <c r="AA14" s="1047">
        <f t="shared" si="3"/>
        <v>74</v>
      </c>
      <c r="AB14" s="1047">
        <f t="shared" si="3"/>
        <v>0</v>
      </c>
      <c r="AC14" s="1047">
        <f t="shared" si="3"/>
        <v>0</v>
      </c>
      <c r="AD14" s="1047">
        <f t="shared" si="3"/>
        <v>0</v>
      </c>
      <c r="AE14" s="1047">
        <f t="shared" si="3"/>
        <v>8378</v>
      </c>
      <c r="AF14" s="1055">
        <f t="shared" si="3"/>
        <v>0</v>
      </c>
      <c r="AG14" s="1055">
        <f t="shared" si="3"/>
        <v>0</v>
      </c>
      <c r="AH14" s="1055">
        <f t="shared" si="3"/>
        <v>0</v>
      </c>
      <c r="AI14" s="1055">
        <f t="shared" si="3"/>
        <v>0</v>
      </c>
      <c r="AJ14" s="1055">
        <f t="shared" si="3"/>
        <v>235</v>
      </c>
      <c r="AK14" s="1055">
        <f t="shared" si="3"/>
        <v>660</v>
      </c>
      <c r="AL14" s="1055">
        <f t="shared" si="3"/>
        <v>0</v>
      </c>
      <c r="AM14" s="1055">
        <f t="shared" si="3"/>
        <v>0</v>
      </c>
      <c r="AN14" s="1055">
        <f t="shared" si="3"/>
        <v>0</v>
      </c>
      <c r="AO14" s="1051">
        <f>IF(ISNUMBER(((NºAsuntos!I14/NºAsuntos!G14)*11)/factor_trimestre),((NºAsuntos!I14/NºAsuntos!G14)*11)/factor_trimestre," - ")</f>
        <v>16.59375</v>
      </c>
      <c r="AP14" s="1057" t="str">
        <f>IF(ISNUMBER(Datos!CI14/Datos!CJ14),Datos!CI14/Datos!CJ14," - ")</f>
        <v xml:space="preserve"> - </v>
      </c>
      <c r="AQ14" s="1075">
        <f t="shared" ref="AQ14:AV14" si="4">SUBTOTAL(9,AQ9:AQ13)</f>
        <v>0</v>
      </c>
      <c r="AR14" s="1075">
        <f t="shared" si="4"/>
        <v>-0.12888371846137514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1415</v>
      </c>
      <c r="G16" s="507">
        <f>IF(ISNUMBER(IF(D_I="SI",Datos!I16,Datos!I16+Datos!AC16)),IF(D_I="SI",Datos!I16,Datos!I16+Datos!AC16)," - ")</f>
        <v>1341</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85</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2183</v>
      </c>
      <c r="Z16" s="704">
        <f>IF(ISNUMBER(Datos!Q16),Datos!Q16," - ")</f>
        <v>101</v>
      </c>
      <c r="AA16" s="506">
        <f>IF(ISNUMBER(IF(D_I="SI",Datos!L16,Datos!L16+Datos!AF16)),IF(D_I="SI",Datos!L16,Datos!L16+Datos!AF16)," - ")</f>
        <v>1260</v>
      </c>
      <c r="AB16" s="504"/>
      <c r="AC16" s="504"/>
      <c r="AD16" s="517"/>
      <c r="AE16" s="517">
        <f>IF(ISNUMBER(Datos!R16),Datos!R16," - ")</f>
        <v>298</v>
      </c>
      <c r="AF16" s="620" t="str">
        <f>IF(ISNUMBER(Datos!BV16),Datos!BV16," - ")</f>
        <v xml:space="preserve"> - </v>
      </c>
      <c r="AG16" s="507"/>
      <c r="AH16" s="508"/>
      <c r="AI16" s="509"/>
      <c r="AJ16" s="507">
        <f>IF(ISNUMBER(Datos!M16),Datos!M16," - ")</f>
        <v>413</v>
      </c>
      <c r="AK16" s="620">
        <f>IF(ISNUMBER(Datos!N16),Datos!N16," - ")</f>
        <v>1121</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1.7315620705451213</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65</v>
      </c>
      <c r="G17" s="507">
        <f>IF(ISNUMBER(IF(D_I="SI",Datos!I17,Datos!I17+Datos!AC17)),IF(D_I="SI",Datos!I17,Datos!I17+Datos!AC17)," - ")</f>
        <v>15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54</v>
      </c>
      <c r="Z17" s="704">
        <f>IF(ISNUMBER(Datos!Q17),Datos!Q17," - ")</f>
        <v>0</v>
      </c>
      <c r="AA17" s="506">
        <f>IF(ISNUMBER(IF(D_I="SI",Datos!L17,Datos!L17+Datos!AF17)),IF(D_I="SI",Datos!L17,Datos!L17+Datos!AF17)," - ")</f>
        <v>11</v>
      </c>
      <c r="AB17" s="504"/>
      <c r="AC17" s="504"/>
      <c r="AD17" s="517"/>
      <c r="AE17" s="517">
        <f>IF(ISNUMBER(Datos!R17),Datos!R17," - ")</f>
        <v>12</v>
      </c>
      <c r="AF17" s="620" t="str">
        <f>IF(ISNUMBER(Datos!BV17),Datos!BV17," - ")</f>
        <v xml:space="preserve"> - </v>
      </c>
      <c r="AG17" s="507"/>
      <c r="AH17" s="508"/>
      <c r="AI17" s="509"/>
      <c r="AJ17" s="507">
        <f>IF(ISNUMBER(Datos!M17),Datos!M17," - ")</f>
        <v>0</v>
      </c>
      <c r="AK17" s="620">
        <f>IF(ISNUMBER(Datos!N17),Datos!N17," - ")</f>
        <v>54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0.61111111111111105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126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291</v>
      </c>
      <c r="Z18" s="704">
        <f>IF(ISNUMBER(Datos!Q18),Datos!Q18," - ")</f>
        <v>4</v>
      </c>
      <c r="AA18" s="506">
        <f>IF(ISNUMBER(Datos!L18),Datos!L18,"-")</f>
        <v>110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151</v>
      </c>
      <c r="AK18" s="620">
        <f>IF(ISNUMBER(Datos!N18),Datos!N18," - ")</f>
        <v>102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1.134020618556701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1480</v>
      </c>
      <c r="G20" s="1045">
        <f>SUBTOTAL(9,G16:G19)</f>
        <v>1482</v>
      </c>
      <c r="H20" s="1079">
        <f>SUBTOTAL(9,H16:H19)</f>
        <v>0</v>
      </c>
      <c r="I20" s="1058">
        <f>SUBTOTAL(9,I16:I19)</f>
        <v>0</v>
      </c>
      <c r="J20" s="1014">
        <f>SUBTOTAL(9,J15:J19)</f>
        <v>0</v>
      </c>
      <c r="K20" s="1079">
        <f t="shared" ref="K20:S20" si="5">SUBTOTAL(9,K16:K19)</f>
        <v>0</v>
      </c>
      <c r="L20" s="1079">
        <f t="shared" si="5"/>
        <v>0</v>
      </c>
      <c r="M20" s="1079">
        <f t="shared" si="5"/>
        <v>0</v>
      </c>
      <c r="N20" s="1079">
        <f t="shared" si="5"/>
        <v>89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2528</v>
      </c>
      <c r="Z20" s="1079">
        <f t="shared" si="6"/>
        <v>105</v>
      </c>
      <c r="AA20" s="1079">
        <f t="shared" si="6"/>
        <v>1381</v>
      </c>
      <c r="AB20" s="1079">
        <f t="shared" si="6"/>
        <v>0</v>
      </c>
      <c r="AC20" s="1079">
        <f t="shared" si="6"/>
        <v>0</v>
      </c>
      <c r="AD20" s="1079">
        <f t="shared" si="6"/>
        <v>0</v>
      </c>
      <c r="AE20" s="1079">
        <f t="shared" si="6"/>
        <v>310</v>
      </c>
      <c r="AF20" s="1079">
        <f t="shared" si="6"/>
        <v>0</v>
      </c>
      <c r="AG20" s="1079">
        <f t="shared" si="6"/>
        <v>0</v>
      </c>
      <c r="AH20" s="1079">
        <f t="shared" si="6"/>
        <v>0</v>
      </c>
      <c r="AI20" s="1079">
        <f t="shared" si="6"/>
        <v>0</v>
      </c>
      <c r="AJ20" s="1079">
        <f t="shared" si="6"/>
        <v>564</v>
      </c>
      <c r="AK20" s="1079">
        <f t="shared" si="6"/>
        <v>1277</v>
      </c>
      <c r="AL20" s="1079">
        <f t="shared" si="6"/>
        <v>0</v>
      </c>
      <c r="AM20" s="1079">
        <f t="shared" si="6"/>
        <v>0</v>
      </c>
      <c r="AN20" s="1079">
        <f t="shared" si="6"/>
        <v>0</v>
      </c>
      <c r="AO20" s="1081">
        <f>IF(ISNUMBER(((NºAsuntos!I20/NºAsuntos!G20)*11)/factor_trimestre),((NºAsuntos!I20/NºAsuntos!G20)*11)/factor_trimestre," - ")</f>
        <v>1.6388449367088607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11</v>
      </c>
      <c r="F21" s="967">
        <f t="shared" si="8"/>
        <v>1547</v>
      </c>
      <c r="G21" s="967">
        <f t="shared" si="8"/>
        <v>1549</v>
      </c>
      <c r="H21" s="968">
        <f t="shared" si="8"/>
        <v>0</v>
      </c>
      <c r="I21" s="967">
        <f t="shared" si="8"/>
        <v>0</v>
      </c>
      <c r="J21" s="969">
        <f t="shared" si="8"/>
        <v>0</v>
      </c>
      <c r="K21" s="967">
        <f t="shared" si="8"/>
        <v>0</v>
      </c>
      <c r="L21" s="970">
        <f t="shared" si="8"/>
        <v>0</v>
      </c>
      <c r="M21" s="967">
        <f t="shared" si="8"/>
        <v>0</v>
      </c>
      <c r="N21" s="968">
        <f t="shared" si="8"/>
        <v>518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2548</v>
      </c>
      <c r="Z21" s="974">
        <f t="shared" si="9"/>
        <v>286</v>
      </c>
      <c r="AA21" s="975">
        <f t="shared" si="9"/>
        <v>1455</v>
      </c>
      <c r="AB21" s="975">
        <f t="shared" si="9"/>
        <v>0</v>
      </c>
      <c r="AC21" s="975">
        <f t="shared" si="9"/>
        <v>0</v>
      </c>
      <c r="AD21" s="976">
        <f t="shared" si="9"/>
        <v>0</v>
      </c>
      <c r="AE21" s="976">
        <f t="shared" si="9"/>
        <v>8688</v>
      </c>
      <c r="AF21" s="977">
        <f t="shared" si="9"/>
        <v>0</v>
      </c>
      <c r="AG21" s="978">
        <f t="shared" si="9"/>
        <v>0</v>
      </c>
      <c r="AH21" s="979">
        <f t="shared" si="9"/>
        <v>0</v>
      </c>
      <c r="AI21" s="977">
        <f t="shared" si="9"/>
        <v>0</v>
      </c>
      <c r="AJ21" s="967">
        <f t="shared" si="9"/>
        <v>799</v>
      </c>
      <c r="AK21" s="967">
        <f t="shared" si="9"/>
        <v>1937</v>
      </c>
      <c r="AL21" s="967">
        <f t="shared" si="9"/>
        <v>0</v>
      </c>
      <c r="AM21" s="980">
        <f t="shared" si="9"/>
        <v>0</v>
      </c>
      <c r="AN21" s="970">
        <f>IF(ISNUMBER(Datos!K21/Datos!J21),Datos!K21/Datos!J21," - ")</f>
        <v>0.98682209832742018</v>
      </c>
      <c r="AO21" s="970">
        <f>IF(ISNUMBER(FIND("06",Criterios!A8,1)),(IF(ISNUMBER(((Datos!R21/Datos!Q21)*11)/factor_trimestre),((Datos!R21/Datos!Q21)*11)/factor_trimestre," - ")),(IF(ISNUMBER(((Datos!L21/Datos!K21)*11)/factor_trimestre),((Datos!L21/Datos!K21)*11)/factor_trimestre," - ")))</f>
        <v>7.416795069337442</v>
      </c>
      <c r="AP21" s="981" t="str">
        <f>IF(ISNUMBER(Datos!CI21/Datos!CJ21),Datos!CI21/Datos!CJ21," - ")</f>
        <v xml:space="preserve"> - </v>
      </c>
      <c r="AQ21" s="981">
        <f>IF(OR(ISNUMBER(FIND("01",Criterios!A8,1)),ISNUMBER(FIND("02",Criterios!A8,1)),ISNUMBER(FIND("03",Criterios!A8,1)),ISNUMBER(FIND("04",Criterios!A8,1))),(J21-Y21+K21)/(F21-K21),(I21-Y21+K21)/(F21-K21))</f>
        <v>-1.6470588235294117</v>
      </c>
      <c r="AR21" s="981">
        <f>IF(ISNUMBER((Datos!P21-Datos!Q21+O21)/(Datos!R21-Datos!P21+Datos!Q21-O21)),(Datos!P21-Datos!Q21+O21)/(Datos!R21-Datos!P21+Datos!Q21-O21)," - ")</f>
        <v>2.7436140018921477E-2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516.33333333333337</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756.84555888239174</v>
      </c>
      <c r="G23" s="601">
        <f>IF(ISNUMBER(STDEV(G8:G20)),STDEV(G8:G20),"-")</f>
        <v>695.71306345839639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205.89942066108742</v>
      </c>
      <c r="AK23" s="257"/>
      <c r="AL23" s="257">
        <f>IF(ISNUMBER(STDEV(AL8:AL20)),STDEV(AL8:AL20),"-")</f>
        <v>0</v>
      </c>
      <c r="AM23" s="259">
        <f>IF(ISNUMBER(STDEV(AM8:AM20)),STDEV(AM8:AM20),"-")</f>
        <v>0</v>
      </c>
      <c r="AN23" s="587">
        <f>IF(ISNUMBER(STDEV(AN8:AN20)),STDEV(AN8:AN20),"-")</f>
        <v>0</v>
      </c>
      <c r="AO23" s="588">
        <f>IF(ISNUMBER(STDEV(AO8:AO20)),STDEV(AO8:AO20),"-")</f>
        <v>7.4607832117914139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19VY4FN6VeJIlnCD7OhKAXmVuRXiMbulc+k7hPKlRh5PK/wYcbaiAIxN96FZSvad5AOBVaeU7DixBhNOCLVbQ==" saltValue="3+pBB9orq/wLa7tVFD49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dd5d5TDclZdDHMGTPMV535ZRx/JOHO+pHz0c8OSD0HXYQww5dtMbrnzWLBcxwv4G6SO131lhsYX9hxAQmrKgg==" saltValue="0EHJ399t4RJQKGIVmUGP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5Q8B245d9Lt5qAcBSptHeOCfSdRvbkk0jJBYyaYH5CEvGEKfBYJp+cbKbzYoevF8H4pGcCGdrIDDH0E8GPuMA==" saltValue="WR/E8qN4DPYydLMun2ed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TORREVIEJA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0.15299479166666666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0.10818365467372308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yAhrpN262T4X3xfm+aSfHH+33wjfGP26PV8y1yrG/42OpyxbDGoXziSCgfDO+RHv49VsZqNBE6nRVXqM0NpXQ==" saltValue="Ebpt/e14WVX/F5apaJDn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27LfNVdX269LEHxQKSPmy3OAHJ2xtgD+nm/rGnqmQwZ9vQ29JfLe9Jk5mfbfxu9UJyTZfIlxKPzXDGSW8shszQ==" saltValue="bYz1EtRFjnZbPMZUZ71/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TORREVIEJA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8417</v>
      </c>
      <c r="D9" s="416">
        <f>IF(ISNUMBER(C9/Datos!BH9),C9/Datos!BH9," - ")</f>
        <v>1683.4</v>
      </c>
      <c r="E9" s="415">
        <f>IF(ISNUMBER(IF(J_V="SI",Datos!J9,Datos!J9+Datos!Z9)),IF(J_V="SI",Datos!J9,Datos!J9+Datos!Z9)," - ")</f>
        <v>1754</v>
      </c>
      <c r="F9" s="416">
        <f>IF(ISNUMBER(E9/B9),E9/B9," - ")</f>
        <v>350.8</v>
      </c>
      <c r="G9" s="415">
        <f>IF(ISNUMBER(IF(J_V="SI",Datos!K9,Datos!K9+Datos!AA9)),IF(J_V="SI",Datos!K9,Datos!K9+Datos!AA9)," - ")</f>
        <v>1516</v>
      </c>
      <c r="H9" s="416">
        <f>IF(ISNUMBER(G9/B9),G9/B9," - ")</f>
        <v>303.2</v>
      </c>
      <c r="I9" s="415">
        <f>IF(ISNUMBER(IF(J_V="SI",Datos!L9,Datos!L9+Datos!AB9)),IF(J_V="SI",Datos!L9,Datos!L9+Datos!AB9)," - ")</f>
        <v>8422</v>
      </c>
      <c r="J9" s="416">
        <f>IF(ISNUMBER(I9/B9),I9/B9," - ")</f>
        <v>1684.4</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67</v>
      </c>
      <c r="D10" s="416">
        <f>IF(ISNUMBER(C10/Datos!BH10),C10/Datos!BH10," - ")</f>
        <v>33.5</v>
      </c>
      <c r="E10" s="415">
        <f>IF(ISNUMBER(Datos!J10),Datos!J10," - ")</f>
        <v>27</v>
      </c>
      <c r="F10" s="416">
        <f>IF(ISNUMBER(E10/B10),E10/B10," - ")</f>
        <v>13.5</v>
      </c>
      <c r="G10" s="415">
        <f>IF(ISNUMBER(Datos!K10),Datos!K10," - ")</f>
        <v>20</v>
      </c>
      <c r="H10" s="416">
        <f>IF(ISNUMBER(G10/B10),G10/B10," - ")</f>
        <v>10</v>
      </c>
      <c r="I10" s="415">
        <f>IF(ISNUMBER(Datos!L10),Datos!L10," - ")</f>
        <v>74</v>
      </c>
      <c r="J10" s="416">
        <f>IF(ISNUMBER(I10/B10),I10/B10," - ")</f>
        <v>37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8484</v>
      </c>
      <c r="D14" s="997" t="str">
        <f>IF(ISNUMBER(C14/Datos!BI14),C14/Datos!BI14," - ")</f>
        <v xml:space="preserve"> - </v>
      </c>
      <c r="E14" s="996">
        <f>SUBTOTAL(9,E8:E13)</f>
        <v>1781</v>
      </c>
      <c r="F14" s="997">
        <f>IF(ISNUMBER(E14/B14),E14/B14," - ")</f>
        <v>296.83333333333331</v>
      </c>
      <c r="G14" s="996">
        <f>SUBTOTAL(9,G8:G13)</f>
        <v>1536</v>
      </c>
      <c r="H14" s="997">
        <f>IF(ISNUMBER(G14/B14),G14/B14," - ")</f>
        <v>256</v>
      </c>
      <c r="I14" s="996">
        <f>SUBTOTAL(9,I8:I13)</f>
        <v>8496</v>
      </c>
      <c r="J14" s="997">
        <f>IF(ISNUMBER(I14/B14),I14/B14," - ")</f>
        <v>1416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1341</v>
      </c>
      <c r="D16" s="416">
        <f>IF(ISNUMBER(C16/Datos!BH16),C16/Datos!BH16," - ")</f>
        <v>335.25</v>
      </c>
      <c r="E16" s="415">
        <f>IF(ISNUMBER(IF(D_I="SI",Datos!J16,Datos!J16+Datos!AD16)),IF(D_I="SI",Datos!J16,Datos!J16+Datos!AD16)," - ")</f>
        <v>2028</v>
      </c>
      <c r="F16" s="416">
        <f>IF(ISNUMBER(E16/B16),E16/B16," - ")</f>
        <v>507</v>
      </c>
      <c r="G16" s="415">
        <f>IF(ISNUMBER(IF(D_I="SI",Datos!K16,Datos!K16+Datos!AE16)),IF(D_I="SI",Datos!K16,Datos!K16+Datos!AE16)," - ")</f>
        <v>2183</v>
      </c>
      <c r="H16" s="416">
        <f>IF(ISNUMBER(G16/B16),G16/B16," - ")</f>
        <v>545.75</v>
      </c>
      <c r="I16" s="415">
        <f>IF(ISNUMBER(IF(D_I="SI",Datos!L16,Datos!L16+Datos!AF16)),IF(D_I="SI",Datos!L16,Datos!L16+Datos!AF16)," - ")</f>
        <v>1260</v>
      </c>
      <c r="J16" s="416">
        <f>IF(ISNUMBER(I16/B16),I16/B16," - ")</f>
        <v>315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15</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54</v>
      </c>
      <c r="H17" s="416" t="str">
        <f>IF(ISNUMBER(G17/B17),G17/B17," - ")</f>
        <v xml:space="preserve"> - </v>
      </c>
      <c r="I17" s="415">
        <f>IF(ISNUMBER(IF(D_I="SI",Datos!L17,Datos!L17+Datos!AF17)),IF(D_I="SI",Datos!L17,Datos!L17+Datos!AF17)," - ")</f>
        <v>11</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126</v>
      </c>
      <c r="D18" s="416">
        <f>IF(ISNUMBER(C18/Datos!BH18),C18/Datos!BH18," - ")</f>
        <v>63</v>
      </c>
      <c r="E18" s="415">
        <f>IF(ISNUMBER(IF(D_I="SI",Datos!J18,Datos!J18+Datos!AD18)),IF(D_I="SI",Datos!J18,Datos!J18+Datos!AD18)," - ")</f>
        <v>275</v>
      </c>
      <c r="F18" s="416">
        <f>IF(ISNUMBER(E18/B18),E18/B18," - ")</f>
        <v>137.5</v>
      </c>
      <c r="G18" s="415">
        <f>IF(ISNUMBER(IF(D_I="SI",Datos!K18,Datos!K18+Datos!AE18)),IF(D_I="SI",Datos!K18,Datos!K18+Datos!AE18)," - ")</f>
        <v>291</v>
      </c>
      <c r="H18" s="416">
        <f>IF(ISNUMBER(G18/B18),G18/B18," - ")</f>
        <v>145.5</v>
      </c>
      <c r="I18" s="415">
        <f>IF(ISNUMBER(IF(D_I="SI",Datos!L18,Datos!L18+Datos!AF18)),IF(D_I="SI",Datos!L18,Datos!L18+Datos!AF18)," - ")</f>
        <v>110</v>
      </c>
      <c r="J18" s="416">
        <f>IF(ISNUMBER(I18/B18),I18/B18," - ")</f>
        <v>55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1482</v>
      </c>
      <c r="D20" s="997" t="str">
        <f>IF(ISNUMBER(C20/Datos!BI20),C20/Datos!BI20," - ")</f>
        <v xml:space="preserve"> - </v>
      </c>
      <c r="E20" s="996">
        <f>SUBTOTAL(9,E15:E19)</f>
        <v>2303</v>
      </c>
      <c r="F20" s="997">
        <f>IF(ISNUMBER(E20/B20),E20/B20," - ")</f>
        <v>460.6</v>
      </c>
      <c r="G20" s="996">
        <f>SUBTOTAL(9,G15:G19)</f>
        <v>2528</v>
      </c>
      <c r="H20" s="997">
        <f>IF(ISNUMBER(G20/B20),G20/B20," - ")</f>
        <v>505.6</v>
      </c>
      <c r="I20" s="996">
        <f>SUBTOTAL(9,I15:I19)</f>
        <v>1381</v>
      </c>
      <c r="J20" s="997">
        <f>IF(ISNUMBER(I20/B20),I20/B20," - ")</f>
        <v>276.2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9966</v>
      </c>
      <c r="D21" s="942" t="str">
        <f>IF(ISNUMBER(C21/Datos!BI21),C21/Datos!BI21," - ")</f>
        <v xml:space="preserve"> - </v>
      </c>
      <c r="E21" s="941">
        <f>SUBTOTAL(9,E9:E20)</f>
        <v>4084</v>
      </c>
      <c r="F21" s="942">
        <f>IF(ISNUMBER(E21/B21),E21/B21," - ")</f>
        <v>408.4</v>
      </c>
      <c r="G21" s="941">
        <f>SUBTOTAL(9,G9:G20)</f>
        <v>4064</v>
      </c>
      <c r="H21" s="942">
        <f>IF(ISNUMBER(G21/B21),G21/B21," - ")</f>
        <v>406.4</v>
      </c>
      <c r="I21" s="941">
        <f>SUBTOTAL(9,I9:I20)</f>
        <v>9877</v>
      </c>
      <c r="J21" s="942">
        <f>IF(ISNUMBER(I21/B21),I21/B21," - ")</f>
        <v>987.7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DYY9lV6GtQe09essF7/VSj8eGyslCsi1yx9DSiTG787EvBq1rckQGZ1sW/vpwKsa0PSP8HudPlSFa/voWjedQ==" saltValue="guCmitCLG0jBsWk+bLqU2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TORREVIEJA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1</v>
      </c>
      <c r="F10" s="802">
        <f>IF(ISNUMBER(Datos!L10+Datos!K10-Datos!J10),Datos!L10+Datos!K10-Datos!J10," - ")</f>
        <v>67</v>
      </c>
      <c r="G10" s="803">
        <f>IF(ISNUMBER(Datos!I10),Datos!I10," - ")</f>
        <v>67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20</v>
      </c>
      <c r="AC10" s="802" t="str">
        <f>IF(ISNUMBER(IF(D_I="SI",DatosP!K18,DatosP!K18+DatosP!AE18)),IF(D_I="SI",DatosP!K18,DatosP!K18+DatosP!AE18)," - ")</f>
        <v xml:space="preserve"> - </v>
      </c>
      <c r="AD10" s="804"/>
      <c r="AE10" s="804"/>
      <c r="AF10" s="807">
        <f>IF(ISNUMBER(Datos!L10),Datos!L10,"-")</f>
        <v>74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11.100000000000001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67</v>
      </c>
      <c r="G14" s="1085">
        <f t="shared" si="0"/>
        <v>67</v>
      </c>
      <c r="H14" s="1085">
        <f t="shared" si="0"/>
        <v>0</v>
      </c>
      <c r="I14" s="1087">
        <f t="shared" si="0"/>
        <v>0</v>
      </c>
      <c r="J14" s="1086">
        <f t="shared" si="0"/>
        <v>0</v>
      </c>
      <c r="K14" s="1086">
        <f t="shared" si="0"/>
        <v>0</v>
      </c>
      <c r="L14" s="1088">
        <f t="shared" si="0"/>
        <v>0</v>
      </c>
      <c r="M14" s="1088">
        <f t="shared" si="0"/>
        <v>0</v>
      </c>
      <c r="N14" s="1086">
        <f t="shared" si="0"/>
        <v>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20</v>
      </c>
      <c r="AC14" s="1086">
        <f t="shared" si="1"/>
        <v>0</v>
      </c>
      <c r="AD14" s="1086">
        <f t="shared" si="1"/>
        <v>0</v>
      </c>
      <c r="AE14" s="1086">
        <f t="shared" si="1"/>
        <v>0</v>
      </c>
      <c r="AF14" s="1086">
        <f t="shared" si="1"/>
        <v>74</v>
      </c>
      <c r="AG14" s="1086">
        <f t="shared" si="1"/>
        <v>0</v>
      </c>
      <c r="AH14" s="1086">
        <f t="shared" si="1"/>
        <v>0</v>
      </c>
      <c r="AI14" s="1086">
        <f t="shared" si="1"/>
        <v>0</v>
      </c>
      <c r="AJ14" s="1086">
        <f t="shared" si="1"/>
        <v>0</v>
      </c>
      <c r="AK14" s="1086">
        <f t="shared" si="1"/>
        <v>0</v>
      </c>
      <c r="AL14" s="1086">
        <f t="shared" si="1"/>
        <v>6</v>
      </c>
      <c r="AM14" s="1086">
        <f t="shared" si="1"/>
        <v>0</v>
      </c>
      <c r="AN14" s="1086">
        <f t="shared" si="1"/>
        <v>0</v>
      </c>
      <c r="AO14" s="1086">
        <f t="shared" si="1"/>
        <v>0</v>
      </c>
      <c r="AP14" s="1091">
        <f>IF(ISNUMBER(((Datos!L14/Datos!K14)*11)/factor_trimestre),((Datos!L14/Datos!K14)*11)/factor_trimestre," - ")</f>
        <v>18.109809663250363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-0.29850746268656714</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1.6388449367088607</v>
      </c>
      <c r="AQ20" s="1091">
        <f>IF(ISNUMBER(((Datos!M20/Datos!L20)*11)/factor_trimestre),((Datos!M20/Datos!L20)*11)/factor_trimestre," - ")</f>
        <v>1.2251991310644461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-4.9079754601226995E-2</v>
      </c>
      <c r="AW20" s="1093">
        <f>IF(ISNUMBER((Datos!Q20-Datos!R20)/(Datos!S20-Datos!Q20+Datos!R20)),(Datos!Q20-Datos!R20)/(Datos!S20-Datos!Q20+Datos!R20)," - ")</f>
        <v>-0.13217279174725982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67</v>
      </c>
      <c r="G21" s="1098">
        <f t="shared" si="4"/>
        <v>67</v>
      </c>
      <c r="H21" s="1098">
        <f t="shared" si="4"/>
        <v>0</v>
      </c>
      <c r="I21" s="1099">
        <f t="shared" si="4"/>
        <v>0</v>
      </c>
      <c r="J21" s="1100">
        <f t="shared" si="4"/>
        <v>0</v>
      </c>
      <c r="K21" s="1100">
        <f t="shared" si="4"/>
        <v>0</v>
      </c>
      <c r="L21" s="1100">
        <f t="shared" si="4"/>
        <v>0</v>
      </c>
      <c r="M21" s="1100">
        <f t="shared" si="4"/>
        <v>0</v>
      </c>
      <c r="N21" s="1099">
        <f t="shared" si="4"/>
        <v>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20</v>
      </c>
      <c r="AC21" s="1104">
        <f t="shared" si="5"/>
        <v>0</v>
      </c>
      <c r="AD21" s="1104">
        <f t="shared" si="5"/>
        <v>0</v>
      </c>
      <c r="AE21" s="1104">
        <f t="shared" si="5"/>
        <v>0</v>
      </c>
      <c r="AF21" s="1105">
        <f t="shared" si="5"/>
        <v>74</v>
      </c>
      <c r="AG21" s="1105">
        <f t="shared" si="5"/>
        <v>0</v>
      </c>
      <c r="AH21" s="1105">
        <f t="shared" si="5"/>
        <v>0</v>
      </c>
      <c r="AI21" s="1105">
        <f t="shared" si="5"/>
        <v>0</v>
      </c>
      <c r="AJ21" s="1106">
        <f t="shared" si="5"/>
        <v>0</v>
      </c>
      <c r="AK21" s="1106">
        <f t="shared" si="5"/>
        <v>0</v>
      </c>
      <c r="AL21" s="1098">
        <f t="shared" si="5"/>
        <v>6</v>
      </c>
      <c r="AM21" s="1098">
        <f t="shared" si="5"/>
        <v>0</v>
      </c>
      <c r="AN21" s="1098">
        <f t="shared" si="5"/>
        <v>0</v>
      </c>
      <c r="AO21" s="1098">
        <f t="shared" si="5"/>
        <v>0</v>
      </c>
      <c r="AP21" s="1098">
        <f>IF(ISNUMBER(((Datos!L21/Datos!K21)*11)/factor_trimestre),((Datos!L21/Datos!K21)*11)/factor_trimestre," - ")</f>
        <v>7.416795069337442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-0.29850746268656714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2.7436140018921477E-2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44.666666666666664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2.6276913640612181</v>
      </c>
      <c r="F23" s="870">
        <f>IF(ISNUMBER(STDEV(F8:F20)),STDEV(F8:F20),"-")</f>
        <v>38.682468035704929</v>
      </c>
      <c r="G23" s="871">
        <f>IF(ISNUMBER(STDEV(G8:G20)),STDEV(G8:G20),"-")</f>
        <v>38.682468035704929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11.547005383792515</v>
      </c>
      <c r="AC23" s="872">
        <f>IF(ISNUMBER(STDEV(AC8:AC20)),STDEV(AC8:AC20),"-")</f>
        <v>0</v>
      </c>
      <c r="AD23" s="875"/>
      <c r="AE23" s="875"/>
      <c r="AF23" s="875"/>
      <c r="AG23" s="875"/>
      <c r="AH23" s="875"/>
      <c r="AI23" s="875"/>
      <c r="AJ23" s="876">
        <f>IF(ISNUMBER(STDEV(AJ8:AJ20)),STDEV(AJ8:AJ20),"-")</f>
        <v>0</v>
      </c>
      <c r="AK23" s="878"/>
      <c r="AL23" s="870">
        <f>IF(ISNUMBER(STDEV(AL8:AL20)),STDEV(AL8:AL20),"-")</f>
        <v>3.4641016151377544</v>
      </c>
      <c r="AM23" s="870"/>
      <c r="AN23" s="870">
        <f>IF(ISNUMBER(STDEV(AN8:AN20)),STDEV(AN8:AN20),"-")</f>
        <v>0</v>
      </c>
      <c r="AO23" s="876">
        <f>IF(ISNUMBER(STDEV(AO8:AO20)),STDEV(AO8:AO20),"-")</f>
        <v>0</v>
      </c>
      <c r="AP23" s="923">
        <f>IF(ISNUMBER(STDEV(AP8:AP20)),STDEV(AP8:AP20),"-")</f>
        <v>8.265828912553296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f0j0dzZ1ZmiGA5iWeXGWc2sUb5Y+R8jRaAdJDZdJIHJd1AAayh3LXOyxByHMLs2m/yfAZCsYIuOc+BZRTdmw==" saltValue="Rp+GNFzQLMrRJr/x8Qja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TORREVIEJA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0.5</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0.5</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9/a/BpE9SYxyZsddWNpdPhHRtCXzNGfg7O+Y+pP4wgr3bK8tOt3Nbi3jfFtJnywtaxWzY/fDP0BCYf6K2TWqVw==" saltValue="Cvv65nFFLM+lDCzrburGw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TORREVIEJA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229</v>
      </c>
      <c r="E9" s="416">
        <f t="shared" ref="E9:E14" si="0">IF(ISNUMBER(D9/B9),D9/B9," - ")</f>
        <v>45.8</v>
      </c>
      <c r="F9" s="415">
        <f>IF(ISNUMBER(Datos!N9),Datos!N9," - ")</f>
        <v>660</v>
      </c>
      <c r="G9" s="416">
        <f t="shared" ref="G9:G14" si="1">IF(ISNUMBER(F9/B9),F9/B9," - ")</f>
        <v>132</v>
      </c>
      <c r="H9" s="415">
        <f>IF(ISNUMBER(Datos!O9),Datos!O9," - ")</f>
        <v>761</v>
      </c>
      <c r="I9" s="416">
        <f>IF(ISNUMBER(H9/B9),H9/B9," - ")</f>
        <v>152.19999999999999</v>
      </c>
    </row>
    <row r="10" spans="1:9">
      <c r="A10" s="414" t="str">
        <f>Datos!A10</f>
        <v>Jdos. Violencia contra la mujer</v>
      </c>
      <c r="B10" s="444">
        <f>Datos!AO10</f>
        <v>2</v>
      </c>
      <c r="C10" s="422">
        <f>Datos!AQ10</f>
        <v>1</v>
      </c>
      <c r="D10" s="415">
        <f>IF(ISNUMBER(Datos!M10),Datos!M10," - ")</f>
        <v>6</v>
      </c>
      <c r="E10" s="416">
        <f>IF(ISNUMBER(D10/B10),D10/B10," - ")</f>
        <v>3</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235</v>
      </c>
      <c r="E14" s="997">
        <f t="shared" si="0"/>
        <v>33.571428571428569</v>
      </c>
      <c r="F14" s="996">
        <f>SUBTOTAL(9,F9:F13)</f>
        <v>660</v>
      </c>
      <c r="G14" s="997">
        <f t="shared" si="1"/>
        <v>94.285714285714292</v>
      </c>
      <c r="H14" s="996">
        <f>SUBTOTAL(9,H9:H13)</f>
        <v>761</v>
      </c>
      <c r="I14" s="997">
        <f>IF(ISNUMBER(H14/B14),H14/B14," - ")</f>
        <v>108.71428571428571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413</v>
      </c>
      <c r="E16" s="416">
        <f t="shared" ref="E16:E20" si="3">IF(ISNUMBER(D16/B16),D16/B16," - ")</f>
        <v>103.25</v>
      </c>
      <c r="F16" s="415">
        <f>IF(ISNUMBER(Datos!N16),Datos!N16," - ")</f>
        <v>1121</v>
      </c>
      <c r="G16" s="416">
        <f t="shared" ref="G16:G20" si="4">IF(ISNUMBER(F16/B16),F16/B16," - ")</f>
        <v>280.25</v>
      </c>
      <c r="H16" s="415">
        <f>IF(ISNUMBER(Datos!O16),Datos!O16," - ")</f>
        <v>23</v>
      </c>
      <c r="I16" s="416">
        <f t="shared" ref="I16:I19" si="5">IF(ISNUMBER(H16/B16),H16/B16," - ")</f>
        <v>5.75</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54</v>
      </c>
      <c r="G17" s="416" t="str">
        <f t="shared" si="4"/>
        <v xml:space="preserve"> - </v>
      </c>
      <c r="H17" s="415">
        <f>IF(ISNUMBER(Datos!O17),Datos!O17," - ")</f>
        <v>0</v>
      </c>
      <c r="I17" s="416" t="str">
        <f t="shared" si="5"/>
        <v xml:space="preserve"> - </v>
      </c>
    </row>
    <row r="18" spans="1:9">
      <c r="A18" s="414" t="str">
        <f>Datos!A18</f>
        <v>Jdos. Violencia contra la mujer</v>
      </c>
      <c r="B18" s="444">
        <f>Datos!AO18</f>
        <v>2</v>
      </c>
      <c r="C18" s="445">
        <f>Datos!AQ18</f>
        <v>1</v>
      </c>
      <c r="D18" s="415">
        <f>IF(ISNUMBER(Datos!M18),Datos!M18," - ")</f>
        <v>151</v>
      </c>
      <c r="E18" s="416">
        <f>IF(ISNUMBER(D18/B18),D18/B18," - ")</f>
        <v>75.5</v>
      </c>
      <c r="F18" s="415">
        <f>IF(ISNUMBER(Datos!N18),Datos!N18," - ")</f>
        <v>102</v>
      </c>
      <c r="G18" s="416">
        <f>IF(ISNUMBER(F18/B18),F18/B18," - ")</f>
        <v>51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564</v>
      </c>
      <c r="E20" s="997">
        <f t="shared" si="3"/>
        <v>94</v>
      </c>
      <c r="F20" s="996">
        <f>SUBTOTAL(9,F16:F19)</f>
        <v>1277</v>
      </c>
      <c r="G20" s="997">
        <f t="shared" si="4"/>
        <v>212.83333333333334</v>
      </c>
      <c r="H20" s="996">
        <f>SUBTOTAL(9,H16:H19)</f>
        <v>23</v>
      </c>
      <c r="I20" s="997">
        <f>IF(ISNUMBER(H20/B20),H20/B20," - ")</f>
        <v>3.8333333333333335</v>
      </c>
    </row>
    <row r="21" spans="1:9" ht="14.25" thickTop="1" thickBot="1">
      <c r="A21" s="940" t="str">
        <f>Datos!A21</f>
        <v>TOTAL JURISDICCIONES</v>
      </c>
      <c r="B21" s="941">
        <f>Datos!AP21</f>
        <v>10</v>
      </c>
      <c r="C21" s="941">
        <f>Datos!AR21</f>
        <v>10</v>
      </c>
      <c r="D21" s="941">
        <f>SUBTOTAL(9,D8:D20)</f>
        <v>799</v>
      </c>
      <c r="E21" s="942">
        <f>IF(ISNUMBER(D21/B21),D21/B21," - ")</f>
        <v>79.900000000000006</v>
      </c>
      <c r="F21" s="941">
        <f>SUBTOTAL(9,F8:F20)</f>
        <v>1937</v>
      </c>
      <c r="G21" s="942">
        <f>IF(ISNUMBER(F21/B21),F21/B21," - ")</f>
        <v>193.7</v>
      </c>
      <c r="H21" s="941">
        <f>SUBTOTAL(9,H8:H20)</f>
        <v>784</v>
      </c>
      <c r="I21" s="942">
        <f>IF(ISNUMBER(H21/B21),H21/B21," - ")</f>
        <v>78.400000000000006</v>
      </c>
    </row>
    <row r="24" spans="1:9">
      <c r="A24" s="403" t="str">
        <f>Criterios!A4</f>
        <v>Fecha Informe: 06 jun. 2023</v>
      </c>
    </row>
    <row r="29" spans="1:9">
      <c r="A29" s="426"/>
    </row>
  </sheetData>
  <sheetProtection algorithmName="SHA-512" hashValue="Wvc7Yo3nBELS6DH4LACpNMBmm6Bw0Vshf57ozkF9ye1y2WUnMiW7mxEtB01uCifJB+GZqzIu89v/5CtQNC8n6w==" saltValue="Z3bWKAIEAeWZErFv3Kxs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TORREVIEJA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427</v>
      </c>
      <c r="C9" s="451">
        <f>IF(ISNUMBER(Datos!Q9),Datos!Q9," - ")</f>
        <v>170</v>
      </c>
      <c r="D9" s="420">
        <f>IF(ISNUMBER(Datos!R9),Datos!R9," - ")</f>
        <v>8331</v>
      </c>
    </row>
    <row r="10" spans="1:4">
      <c r="A10" s="414" t="str">
        <f>Datos!A10</f>
        <v>Jdos. Violencia contra la mujer</v>
      </c>
      <c r="B10" s="450">
        <f>IF(ISNUMBER(Datos!P10),Datos!P10," - ")</f>
        <v>2</v>
      </c>
      <c r="C10" s="451">
        <f>IF(ISNUMBER(Datos!Q10),Datos!Q10," - ")</f>
        <v>11</v>
      </c>
      <c r="D10" s="420">
        <f>IF(ISNUMBER(Datos!R10),Datos!R10," - ")</f>
        <v>47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429</v>
      </c>
      <c r="C14" s="1000">
        <f>SUBTOTAL(9,C9:C13)</f>
        <v>181</v>
      </c>
      <c r="D14" s="998">
        <f>SUBTOTAL(9,D9:D13)</f>
        <v>8378</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85</v>
      </c>
      <c r="C16" s="451">
        <f>IF(ISNUMBER(Datos!Q16),Datos!Q16," - ")</f>
        <v>101</v>
      </c>
      <c r="D16" s="420">
        <f>IF(ISNUMBER(Datos!R16),Datos!R16," - ")</f>
        <v>298</v>
      </c>
    </row>
    <row r="17" spans="1:4">
      <c r="A17" s="414" t="str">
        <f>Datos!A17</f>
        <v xml:space="preserve">Jdos. 1ª Instª. e Instr.                        </v>
      </c>
      <c r="B17" s="450">
        <f>IF(ISNUMBER(Datos!P17),Datos!P17," - ")</f>
        <v>0</v>
      </c>
      <c r="C17" s="451">
        <f>IF(ISNUMBER(Datos!Q17),Datos!Q17," - ")</f>
        <v>0</v>
      </c>
      <c r="D17" s="420">
        <f>IF(ISNUMBER(Datos!R17),Datos!R17," - ")</f>
        <v>12</v>
      </c>
    </row>
    <row r="18" spans="1:4">
      <c r="A18" s="414" t="str">
        <f>Datos!A18</f>
        <v>Jdos. Violencia contra la mujer</v>
      </c>
      <c r="B18" s="450">
        <f>IF(ISNUMBER(Datos!P18),Datos!P18," - ")</f>
        <v>4</v>
      </c>
      <c r="C18" s="451">
        <f>IF(ISNUMBER(Datos!Q18),Datos!Q18," - ")</f>
        <v>4</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89</v>
      </c>
      <c r="C20" s="1000">
        <f>SUBTOTAL(9,C16:C19)</f>
        <v>105</v>
      </c>
      <c r="D20" s="998">
        <f>SUBTOTAL(9,D16:D19)</f>
        <v>310</v>
      </c>
    </row>
    <row r="21" spans="1:4" ht="16.5" customHeight="1" thickTop="1" thickBot="1">
      <c r="A21" s="940" t="str">
        <f>Datos!A21</f>
        <v>TOTAL JURISDICCIONES</v>
      </c>
      <c r="B21" s="945">
        <f>SUBTOTAL(9,B8:B20)</f>
        <v>518</v>
      </c>
      <c r="C21" s="946">
        <f>SUBTOTAL(9,C8:C20)</f>
        <v>286</v>
      </c>
      <c r="D21" s="947">
        <f>SUBTOTAL(9,D8:D20)</f>
        <v>8688</v>
      </c>
    </row>
    <row r="22" spans="1:4" ht="7.5" customHeight="1"/>
    <row r="23" spans="1:4" ht="6" customHeight="1"/>
    <row r="24" spans="1:4">
      <c r="A24" s="403" t="str">
        <f>Criterios!A4</f>
        <v>Fecha Informe: 06 jun. 2023</v>
      </c>
    </row>
    <row r="29" spans="1:4">
      <c r="A29" s="426"/>
    </row>
  </sheetData>
  <sheetProtection algorithmName="SHA-512" hashValue="7qtID0tiK3bgfNceO3CsrRyd7dU138/JlQSwZScaWokxZDzMs5InHvTjS1FtEiRgT+QW4hPqXdJrHLIn8YxajA==" saltValue="1fx1N5qGG62SumWWhZGU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TORREVIEJA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2.0737327188940093E-2</v>
      </c>
      <c r="C9" s="473">
        <f>IF(ISNUMBER(
   IF(J_V="SI",(Datos!J9-Datos!T9)/Datos!T9,(Datos!J9+Datos!Z9-(Datos!T9+Datos!AH9))/(Datos!T9+Datos!AH9))
     ),IF(J_V="SI",(Datos!J9-Datos!T9)/Datos!T9,(Datos!J9+Datos!Z9-(Datos!T9+Datos!AH9))/(Datos!T9+Datos!AH9))," - ")</f>
        <v>-1.7917133258678612E-2</v>
      </c>
      <c r="D9" s="473">
        <f>IF(ISNUMBER(
   IF(J_V="SI",(Datos!K9-Datos!U9)/Datos!U9,(Datos!K9+Datos!AA9-(Datos!U9+Datos!AI9))/(Datos!U9+Datos!AI9))
     ),IF(J_V="SI",(Datos!K9-Datos!U9)/Datos!U9,(Datos!K9+Datos!AA9-(Datos!U9+Datos!AI9))/(Datos!U9+Datos!AI9))," - ")</f>
        <v>-7.9538554948391016E-2</v>
      </c>
      <c r="E9" s="473">
        <f>IF(ISNUMBER(
   IF(J_V="SI",(Datos!L9-Datos!V9)/Datos!V9,(Datos!L9+Datos!AB9-(Datos!V9+Datos!AJ9))/(Datos!V9+Datos!AJ9))
     ),IF(J_V="SI",(Datos!L9-Datos!V9)/Datos!V9,(Datos!L9+Datos!AB9-(Datos!V9+Datos!AJ9))/(Datos!V9+Datos!AJ9))," - ")</f>
        <v>4.4126416219439479E-3</v>
      </c>
      <c r="F9" s="473">
        <f>IF(ISNUMBER((Datos!M9-Datos!W9)/Datos!W9),(Datos!M9-Datos!W9)/Datos!W9," - ")</f>
        <v>-0.3475783475783476</v>
      </c>
      <c r="G9" s="474">
        <f>IF(ISNUMBER((Datos!N9-Datos!X9)/Datos!X9),(Datos!N9-Datos!X9)/Datos!X9," - ")</f>
        <v>-4.8991354466858789E-2</v>
      </c>
      <c r="H9" s="472">
        <f>IF(ISNUMBER(((NºAsuntos!G9/NºAsuntos!E9)-Datos!BD9)/Datos!BD9),((NºAsuntos!G9/NºAsuntos!E9)-Datos!BD9)/Datos!BD9," - ")</f>
        <v>-6.2745643750186056E-2</v>
      </c>
      <c r="I9" s="473">
        <f>IF(ISNUMBER(((NºAsuntos!I9/NºAsuntos!G9)-Datos!BE9)/Datos!BE9),((NºAsuntos!I9/NºAsuntos!G9)-Datos!BE9)/Datos!BE9," - ")</f>
        <v>9.1205554585317705E-2</v>
      </c>
      <c r="J9" s="478">
        <f>IF(ISNUMBER((('Resol  Asuntos'!D9/NºAsuntos!G9)-Datos!BF9)/Datos!BF9),(('Resol  Asuntos'!D9/NºAsuntos!G9)-Datos!BF9)/Datos!BF9," - ")</f>
        <v>-0.64151547755735183</v>
      </c>
      <c r="K9" s="479">
        <f>IF(ISNUMBER((((NºAsuntos!C9+NºAsuntos!E9)/NºAsuntos!G9)-Datos!BG9)/Datos!BG9),(((NºAsuntos!C9+NºAsuntos!E9)/NºAsuntos!G9)-Datos!BG9)/Datos!BG9," - ")</f>
        <v>0.10146456142454956</v>
      </c>
    </row>
    <row r="10" spans="1:11">
      <c r="A10" s="414" t="str">
        <f>Datos!A10</f>
        <v>Jdos. Violencia contra la mujer</v>
      </c>
      <c r="B10" s="472">
        <f>IF(ISNUMBER((Datos!I10-Datos!S10)/Datos!S10),(Datos!I10-Datos!S10)/Datos!S10," - ")</f>
        <v>-0.27956989247311825</v>
      </c>
      <c r="C10" s="473">
        <f>IF(ISNUMBER((Datos!J10-Datos!T10)/Datos!T10),(Datos!J10-Datos!T10)/Datos!T10," - ")</f>
        <v>26</v>
      </c>
      <c r="D10" s="473">
        <f>IF(ISNUMBER((Datos!K10-Datos!U10)/Datos!U10),(Datos!K10-Datos!U10)/Datos!U10," - ")</f>
        <v>0.25</v>
      </c>
      <c r="E10" s="473">
        <f>IF(ISNUMBER((Datos!L10-Datos!V10)/Datos!V10),(Datos!L10-Datos!V10)/Datos!V10," - ")</f>
        <v>-5.128205128205128E-2</v>
      </c>
      <c r="F10" s="473">
        <f>IF(ISNUMBER((Datos!M10-Datos!W10)/Datos!W10),(Datos!M10-Datos!W10)/Datos!W10," - ")</f>
        <v>-0.625</v>
      </c>
      <c r="G10" s="474" t="str">
        <f>IF(ISNUMBER((Datos!N10-Datos!X10)/Datos!X10),(Datos!N10-Datos!X10)/Datos!X10," - ")</f>
        <v xml:space="preserve"> - </v>
      </c>
      <c r="H10" s="472">
        <f>IF(ISNUMBER(((NºAsuntos!G10/NºAsuntos!E10)-Datos!BD10)/Datos!BD10),((NºAsuntos!G10/NºAsuntos!E10)-Datos!BD10)/Datos!BD10," - ")</f>
        <v>-0.95370370370370372</v>
      </c>
      <c r="I10" s="473">
        <f>IF(ISNUMBER(((NºAsuntos!I10/NºAsuntos!G10)-Datos!BE10)/Datos!BE10),((NºAsuntos!I10/NºAsuntos!G10)-Datos!BE10)/Datos!BE10," - ")</f>
        <v>-0.241025641025641</v>
      </c>
      <c r="J10" s="478">
        <f>IF(ISNUMBER((('Resol  Asuntos'!D10/NºAsuntos!G10)-Datos!BF10)/Datos!BF10),(('Resol  Asuntos'!D10/NºAsuntos!G10)-Datos!BF10)/Datos!BF10," - ")</f>
        <v>-0.7</v>
      </c>
      <c r="K10" s="479">
        <f>IF(ISNUMBER((((NºAsuntos!C10+NºAsuntos!E10)/NºAsuntos!G10)-Datos!BG10)/Datos!BG10),(((NºAsuntos!C10+NºAsuntos!E10)/NºAsuntos!G10)-Datos!BG10)/Datos!BG10," - ")</f>
        <v>-0.19999999999999998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1.7388176040292601E-2</v>
      </c>
      <c r="C14" s="1002">
        <f>IF(ISNUMBER(
   IF(J_V="SI",(Datos!J14-Datos!T14)/Datos!T14,(Datos!J14+Datos!Z14-(Datos!T14+Datos!AH14))/(Datos!T14+Datos!AH14))
     ),IF(J_V="SI",(Datos!J14-Datos!T14)/Datos!T14,(Datos!J14+Datos!Z14-(Datos!T14+Datos!AH14))/(Datos!T14+Datos!AH14))," - ")</f>
        <v>-3.3575825405707891E-3</v>
      </c>
      <c r="D14" s="1002">
        <f>IF(ISNUMBER(
   IF(J_V="SI",(Datos!K14-Datos!U14)/Datos!U14,(Datos!K14+Datos!AA14-(Datos!U14+Datos!AI14))/(Datos!U14+Datos!AI14))
     ),IF(J_V="SI",(Datos!K14-Datos!U14)/Datos!U14,(Datos!K14+Datos!AA14-(Datos!U14+Datos!AI14))/(Datos!U14+Datos!AI14))," - ")</f>
        <v>-7.6368009621166563E-2</v>
      </c>
      <c r="E14" s="1002">
        <f>IF(ISNUMBER(
   IF(J_V="SI",(Datos!L14-Datos!V14)/Datos!V14,(Datos!L14+Datos!AB14-(Datos!V14+Datos!AJ14))/(Datos!V14+Datos!AJ14))
     ),IF(J_V="SI",(Datos!L14-Datos!V14)/Datos!V14,(Datos!L14+Datos!AB14-(Datos!V14+Datos!AJ14))/(Datos!V14+Datos!AJ14))," - ")</f>
        <v>3.8993264799716413E-3</v>
      </c>
      <c r="F14" s="1003">
        <f>IF(ISNUMBER((Datos!M14-Datos!W14)/Datos!W14),(Datos!M14-Datos!W14)/Datos!W14," - ")</f>
        <v>-0.35967302452316074</v>
      </c>
      <c r="G14" s="1004">
        <f>IF(ISNUMBER((Datos!N14-Datos!X14)/Datos!X14),(Datos!N14-Datos!X14)/Datos!X14," - ")</f>
        <v>-4.8991354466858789E-2</v>
      </c>
      <c r="H14" s="1004">
        <f>IF(ISNUMBER(((NºAsuntos!G14/NºAsuntos!E14)-Datos!BD14)/Datos!BD14),((NºAsuntos!G14/NºAsuntos!E14)-Datos!BD14)/Datos!BD14," - ")</f>
        <v>-7.3256391461552287E-2</v>
      </c>
      <c r="I14" s="1004">
        <f>IF(ISNUMBER(((NºAsuntos!I14/NºAsuntos!G14)-Datos!BE14)/Datos!BE14),((NºAsuntos!I14/NºAsuntos!G14)-Datos!BE14)/Datos!BE14," - ")</f>
        <v>8.690402339595886E-2</v>
      </c>
      <c r="J14" s="1004">
        <f>IF(ISNUMBER((('Resol  Asuntos'!D14/NºAsuntos!G14)-Datos!BF14)/Datos!BF14),(('Resol  Asuntos'!D14/NºAsuntos!G14)-Datos!BF14)/Datos!BF14," - ")</f>
        <v>-0.64164741050469487</v>
      </c>
      <c r="K14" s="1004">
        <f>IF(ISNUMBER((((NºAsuntos!C14+NºAsuntos!E14)/NºAsuntos!G14)-Datos!BG14)/Datos!BG14),(((NºAsuntos!C14+NºAsuntos!E14)/NºAsuntos!G14)-Datos!BG14)/Datos!BG14," - ")</f>
        <v>9.7544314038942592E-2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0.11749999999999999</v>
      </c>
      <c r="C16" s="473">
        <f>IF(ISNUMBER(
   IF(D_I="SI",(Datos!J16-Datos!T16)/Datos!T16,(Datos!J16+Datos!AD16-(Datos!T16+Datos!AL16))/(Datos!T16+Datos!AL16))
     ),IF(D_I="SI",(Datos!J16-Datos!T16)/Datos!T16,(Datos!J16+Datos!AD16-(Datos!T16+Datos!AL16))/(Datos!T16+Datos!AL16))," - ")</f>
        <v>7.9297498669505057E-2</v>
      </c>
      <c r="D16" s="473">
        <f>IF(ISNUMBER(
   IF(D_I="SI",(Datos!K16-Datos!U16)/Datos!U16,(Datos!K16+Datos!AE16-(Datos!U16+Datos!AM16))/(Datos!U16+Datos!AM16))
     ),IF(D_I="SI",(Datos!K16-Datos!U16)/Datos!U16,(Datos!K16+Datos!AE16-(Datos!U16+Datos!AM16))/(Datos!U16+Datos!AM16))," - ")</f>
        <v>0.1003024193548387</v>
      </c>
      <c r="E16" s="473">
        <f>IF(ISNUMBER(
   IF(D_I="SI",(Datos!L16-Datos!V16)/Datos!V16,(Datos!L16+Datos!AF16-(Datos!V16+Datos!AN16))/(Datos!V16+Datos!AN16))
     ),IF(D_I="SI",(Datos!L16-Datos!V16)/Datos!V16,(Datos!L16+Datos!AF16-(Datos!V16+Datos!AN16))/(Datos!V16+Datos!AN16))," - ")</f>
        <v>7.1428571428571425E-2</v>
      </c>
      <c r="F16" s="473">
        <f>IF(ISNUMBER((Datos!M16-Datos!W16)/Datos!W16),(Datos!M16-Datos!W16)/Datos!W16," - ")</f>
        <v>4.0302267002518891E-2</v>
      </c>
      <c r="G16" s="474">
        <f>IF(ISNUMBER((Datos!N16-Datos!X16)/Datos!X16),(Datos!N16-Datos!X16)/Datos!X16," - ")</f>
        <v>0.13807106598984772</v>
      </c>
      <c r="H16" s="472">
        <f>IF(ISNUMBER(((NºAsuntos!G16/NºAsuntos!E16)-Datos!BD16)/Datos!BD16),((NºAsuntos!G16/NºAsuntos!E16)-Datos!BD16)/Datos!BD16," - ")</f>
        <v>1.9461659747407219E-2</v>
      </c>
      <c r="I16" s="473">
        <f>IF(ISNUMBER(((NºAsuntos!I16/NºAsuntos!G16)-Datos!BE16)/Datos!BE16),((NºAsuntos!I16/NºAsuntos!G16)-Datos!BE16)/Datos!BE16," - ")</f>
        <v>-2.624173810614502E-2</v>
      </c>
      <c r="J16" s="478">
        <f>IF(ISNUMBER((('Resol  Asuntos'!D16/NºAsuntos!G16)-Datos!BF16)/Datos!BF16),(('Resol  Asuntos'!D16/NºAsuntos!G16)-Datos!BF16)/Datos!BF16," - ")</f>
        <v>-5.4530601130097313E-2</v>
      </c>
      <c r="K16" s="479">
        <f>IF(ISNUMBER((((NºAsuntos!C16+NºAsuntos!E16)/NºAsuntos!G16)-Datos!BG16)/Datos!BG16),(((NºAsuntos!C16+NºAsuntos!E16)/NºAsuntos!G16)-Datos!BG16)/Datos!BG16," - ")</f>
        <v>-5.5584674572790775E-3</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-6.25E-2</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f>IF(ISNUMBER(
   IF(D_I="SI",(Datos!L17-Datos!V17)/Datos!V17,(Datos!L17+Datos!AF17-(Datos!V17+Datos!AN17))/(Datos!V17+Datos!AN17))
     ),IF(D_I="SI",(Datos!L17-Datos!V17)/Datos!V17,(Datos!L17+Datos!AF17-(Datos!V17+Datos!AN17))/(Datos!V17+Datos!AN17))," - ")</f>
        <v>-0.3125</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-3.0769230769230771E-2</v>
      </c>
      <c r="C18" s="473">
        <f>IF(ISNUMBER(
   IF(D_I="SI",(Datos!J18-Datos!T18)/Datos!T18,(Datos!J18+Datos!AD18-(Datos!T18+Datos!AL18))/(Datos!T18+Datos!AL18))
     ),IF(D_I="SI",(Datos!J18-Datos!T18)/Datos!T18,(Datos!J18+Datos!AD18-(Datos!T18+Datos!AL18))/(Datos!T18+Datos!AL18))," - ")</f>
        <v>1.0833333333333333</v>
      </c>
      <c r="D18" s="473">
        <f>IF(ISNUMBER(
   IF(D_I="SI",(Datos!K18-Datos!U18)/Datos!U18,(Datos!K18+Datos!AE18-(Datos!U18+Datos!AM18))/(Datos!U18+Datos!AM18))
     ),IF(D_I="SI",(Datos!K18-Datos!U18)/Datos!U18,(Datos!K18+Datos!AE18-(Datos!U18+Datos!AM18))/(Datos!U18+Datos!AM18))," - ")</f>
        <v>0.59890109890109888</v>
      </c>
      <c r="E18" s="473">
        <f>IF(ISNUMBER(
   IF(D_I="SI",(Datos!L18-Datos!V18)/Datos!V18,(Datos!L18+Datos!AF18-(Datos!V18+Datos!AN18))/(Datos!V18+Datos!AN18))
     ),IF(D_I="SI",(Datos!L18-Datos!V18)/Datos!V18,(Datos!L18+Datos!AF18-(Datos!V18+Datos!AN18))/(Datos!V18+Datos!AN18))," - ")</f>
        <v>0.375</v>
      </c>
      <c r="F18" s="473">
        <f>IF(ISNUMBER((Datos!M18-Datos!W18)/Datos!W18),(Datos!M18-Datos!W18)/Datos!W18," - ")</f>
        <v>2.5116279069767442</v>
      </c>
      <c r="G18" s="474">
        <f>IF(ISNUMBER((Datos!N18-Datos!X18)/Datos!X18),(Datos!N18-Datos!X18)/Datos!X18," - ")</f>
        <v>0.72881355932203384</v>
      </c>
      <c r="H18" s="472">
        <f>IF(ISNUMBER(((NºAsuntos!G18/NºAsuntos!E18)-Datos!BD18)/Datos!BD18),((NºAsuntos!G18/NºAsuntos!E18)-Datos!BD18)/Datos!BD18," - ")</f>
        <v>-0.23252747252747263</v>
      </c>
      <c r="I18" s="473">
        <f>IF(ISNUMBER(((NºAsuntos!I18/NºAsuntos!G18)-Datos!BE18)/Datos!BE18),((NºAsuntos!I18/NºAsuntos!G18)-Datos!BE18)/Datos!BE18," - ")</f>
        <v>-0.14003436426116839</v>
      </c>
      <c r="J18" s="478">
        <f>IF(ISNUMBER((('Resol  Asuntos'!D18/NºAsuntos!G18)-Datos!BF18)/Datos!BF18),(('Resol  Asuntos'!D18/NºAsuntos!G18)-Datos!BF18)/Datos!BF18," - ")</f>
        <v>1.1962758730919847</v>
      </c>
      <c r="K18" s="479">
        <f>IF(ISNUMBER((((NºAsuntos!C18+NºAsuntos!E18)/NºAsuntos!G18)-Datos!BG18)/Datos!BG18),(((NºAsuntos!C18+NºAsuntos!E18)/NºAsuntos!G18)-Datos!BG18)/Datos!BG18," - ")</f>
        <v>-4.2758584507226992E-2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0.10104011887072809</v>
      </c>
      <c r="C20" s="1002">
        <f>IF(ISNUMBER(
   IF(Criterios!B14="SI",(Datos!J20-Datos!T20)/Datos!T20,(Datos!J20+Datos!AD20-(Datos!T20+Datos!AL20))/(Datos!T20+Datos!AL20))
     ),IF(Criterios!B14="SI",(Datos!J20-Datos!T20)/Datos!T20,(Datos!J20+Datos!AD20-(Datos!T20+Datos!AL20))/(Datos!T20+Datos!AL20))," - ")</f>
        <v>0.14520139234211835</v>
      </c>
      <c r="D20" s="1002">
        <f>IF(ISNUMBER(
   IF(Criterios!B14="SI",(Datos!K20-Datos!U20)/Datos!U20,(Datos!K20+Datos!AE20-(Datos!U20+Datos!AM20))/(Datos!U20+Datos!AM20))
     ),IF(Criterios!B14="SI",(Datos!K20-Datos!U20)/Datos!U20,(Datos!K20+Datos!AE20-(Datos!U20+Datos!AM20))/(Datos!U20+Datos!AM20))," - ")</f>
        <v>0.16712834718374883</v>
      </c>
      <c r="E20" s="1002">
        <f>IF(ISNUMBER(
   IF(Criterios!B14="SI",(Datos!L20-Datos!V20)/Datos!V20,(Datos!L20+Datos!AF20-(Datos!V20+Datos!AN20))/(Datos!V20+Datos!AN20))
     ),IF(Criterios!B14="SI",(Datos!L20-Datos!V20)/Datos!V20,(Datos!L20+Datos!AF20-(Datos!V20+Datos!AN20))/(Datos!V20+Datos!AN20))," - ")</f>
        <v>8.5691823899371064E-2</v>
      </c>
      <c r="F20" s="1003">
        <f>IF(ISNUMBER((Datos!M20-Datos!W20)/Datos!W20),(Datos!M20-Datos!W20)/Datos!W20," - ")</f>
        <v>0.2818181818181818</v>
      </c>
      <c r="G20" s="1004">
        <f>IF(ISNUMBER((Datos!N20-Datos!X20)/Datos!X20),(Datos!N20-Datos!X20)/Datos!X20," - ")</f>
        <v>0.22318007662835249</v>
      </c>
      <c r="H20" s="1004">
        <f>IF(ISNUMBER(((NºAsuntos!G20/NºAsuntos!E20)-Datos!BD20)/Datos!BD20),((NºAsuntos!G20/NºAsuntos!E20)-Datos!BD20)/Datos!BD20," - ")</f>
        <v>1.914681119692534E-2</v>
      </c>
      <c r="I20" s="1004">
        <f>IF(ISNUMBER(((NºAsuntos!I20/NºAsuntos!G20)-Datos!BE20)/Datos!BE20),((NºAsuntos!I20/NºAsuntos!G20)-Datos!BE20)/Datos!BE20," - ")</f>
        <v>-6.9775122402675083E-2</v>
      </c>
      <c r="J20" s="1004">
        <f>IF(ISNUMBER((('Resol  Asuntos'!D20/NºAsuntos!G20)-Datos!BF20)/Datos!BF20),(('Resol  Asuntos'!D20/NºAsuntos!G20)-Datos!BF20)/Datos!BF20," - ")</f>
        <v>9.8266685845799728E-2</v>
      </c>
      <c r="K20" s="1004">
        <f>IF(ISNUMBER((((NºAsuntos!C20+NºAsuntos!E20)/NºAsuntos!G20)-Datos!BG20)/Datos!BG20),(((NºAsuntos!C20+NºAsuntos!E20)/NºAsuntos!G20)-Datos!BG20)/Datos!BG20," - ")</f>
        <v>-3.3958184862162219E-2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2.9013939081053174E-2</v>
      </c>
      <c r="C21" s="949">
        <f>IF(ISNUMBER(
   IF(J_V="SI",(Datos!J21-Datos!T21)/Datos!T21,(Datos!J21+Datos!Z21-(Datos!T21+Datos!AH21))/(Datos!T21+Datos!AH21))
     ),IF(J_V="SI",(Datos!J21-Datos!T21)/Datos!T21,(Datos!J21+Datos!Z21-(Datos!T21+Datos!AH21))/(Datos!T21+Datos!AH21))," - ")</f>
        <v>7.5302790942601366E-2</v>
      </c>
      <c r="D21" s="949">
        <f>IF(ISNUMBER(
   IF(J_V="SI",(Datos!K21-Datos!U21)/Datos!U21,(Datos!K21+Datos!AA21-(Datos!U21+Datos!AI21))/(Datos!U21+Datos!AI21))
     ),IF(J_V="SI",(Datos!K21-Datos!U21)/Datos!U21,(Datos!K21+Datos!AA21-(Datos!U21+Datos!AI21))/(Datos!U21+Datos!AI21))," - ")</f>
        <v>6.1373726821624446E-2</v>
      </c>
      <c r="E21" s="949">
        <f>IF(ISNUMBER(
   IF(J_V="SI",(Datos!L21-Datos!V21)/Datos!V21,(Datos!L21+Datos!AB21-(Datos!V21+Datos!AJ21))/(Datos!V21+Datos!AJ21))
     ),IF(J_V="SI",(Datos!L21-Datos!V21)/Datos!V21,(Datos!L21+Datos!AB21-(Datos!V21+Datos!AJ21))/(Datos!V21+Datos!AJ21))," - ")</f>
        <v>1.4586543400102722E-2</v>
      </c>
      <c r="F21" s="950">
        <f>IF(ISNUMBER((Datos!M21-Datos!W21)/Datos!W21),(Datos!M21-Datos!W21)/Datos!W21," - ")</f>
        <v>-9.9132589838909543E-3</v>
      </c>
      <c r="G21" s="951">
        <f>IF(ISNUMBER((Datos!N21-Datos!X21)/Datos!X21),(Datos!N21-Datos!X21)/Datos!X21," - ")</f>
        <v>0.1144994246260069</v>
      </c>
      <c r="H21" s="952">
        <f>IF(ISNUMBER((Tasas!B21-Datos!BD21)/Datos!BD21),(Tasas!B21-Datos!BD21)/Datos!BD21," - ")</f>
        <v>-1.2953620355404136E-2</v>
      </c>
      <c r="I21" s="953">
        <f>IF(ISNUMBER((Tasas!C21-Datos!BE21)/Datos!BE21),(Tasas!C21-Datos!BE21)/Datos!BE21," - ")</f>
        <v>-4.4081723750247825E-2</v>
      </c>
      <c r="J21" s="954">
        <f>IF(ISNUMBER((Tasas!D21-Datos!BF21)/Datos!BF21),(Tasas!D21-Datos!BF21)/Datos!BF21," - ")</f>
        <v>-0.34539305888394378</v>
      </c>
      <c r="K21" s="954">
        <f>IF(ISNUMBER((Tasas!E21-Datos!BG21)/Datos!BG21),(Tasas!E21-Datos!BG21)/Datos!BG21," - ")</f>
        <v>-1.8203551453828452E-2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kuZoB9kw1Q38rjlFXMHlyFOgp2q5ab1QTnhjXgS3cFGCI8CL73qi3Hs+8B02m6PwUHFiURTEfQGC02vLzJMg==" saltValue="1oDJhvNRPb6R69FymGjsJ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TORREVIEJA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0.86431014823261121</v>
      </c>
      <c r="C9" s="460">
        <f>IF(ISNUMBER(NºAsuntos!I9/NºAsuntos!G9),NºAsuntos!I9/NºAsuntos!G9," - ")</f>
        <v>5.5554089709762531</v>
      </c>
      <c r="D9" s="461">
        <f>IF(ISNUMBER('Resol  Asuntos'!D9/NºAsuntos!G9),'Resol  Asuntos'!D9/NºAsuntos!G9," - ")</f>
        <v>0.15105540897097625</v>
      </c>
      <c r="E9" s="462">
        <f>IF(ISNUMBER((NºAsuntos!C9+NºAsuntos!E9)/NºAsuntos!G9),(NºAsuntos!C9+NºAsuntos!E9)/NºAsuntos!G9," - ")</f>
        <v>6.7091029023746698</v>
      </c>
      <c r="G9" s="480"/>
    </row>
    <row r="10" spans="1:7">
      <c r="A10" s="414" t="str">
        <f>Datos!A10</f>
        <v>Jdos. Violencia contra la mujer</v>
      </c>
      <c r="B10" s="459">
        <f>IF(ISNUMBER(NºAsuntos!G10/NºAsuntos!E10),NºAsuntos!G10/NºAsuntos!E10," - ")</f>
        <v>0.7407407407407407</v>
      </c>
      <c r="C10" s="460">
        <f>IF(ISNUMBER(NºAsuntos!I10/NºAsuntos!G10),NºAsuntos!I10/NºAsuntos!G10," - ")</f>
        <v>3.7</v>
      </c>
      <c r="D10" s="461">
        <f>IF(ISNUMBER('Resol  Asuntos'!D10/NºAsuntos!G10),'Resol  Asuntos'!D10/NºAsuntos!G10," - ")</f>
        <v>0.3</v>
      </c>
      <c r="E10" s="462">
        <f>IF(ISNUMBER((NºAsuntos!C10+NºAsuntos!E10)/NºAsuntos!G10),(NºAsuntos!C10+NºAsuntos!E10)/NºAsuntos!G10," - ")</f>
        <v>4.7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0.86243683323975295</v>
      </c>
      <c r="C14" s="1006">
        <f>IF(ISNUMBER(NºAsuntos!I14/NºAsuntos!G14),NºAsuntos!I14/NºAsuntos!G14," - ")</f>
        <v>5.53125</v>
      </c>
      <c r="D14" s="1007">
        <f>IF(ISNUMBER('Resol  Asuntos'!D14/NºAsuntos!G14),'Resol  Asuntos'!D14/NºAsuntos!G14," - ")</f>
        <v>0.15299479166666666</v>
      </c>
      <c r="E14" s="1008">
        <f>IF(ISNUMBER((NºAsuntos!C14+NºAsuntos!E14)/NºAsuntos!G14),(NºAsuntos!C14+NºAsuntos!E14)/NºAsuntos!G14," - ")</f>
        <v>6.682942708333333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1.0764299802761341</v>
      </c>
      <c r="C16" s="460">
        <f>IF(ISNUMBER(NºAsuntos!I16/NºAsuntos!G16),NºAsuntos!I16/NºAsuntos!G16," - ")</f>
        <v>0.57718735684837374</v>
      </c>
      <c r="D16" s="461">
        <f>IF(ISNUMBER('Resol  Asuntos'!D16/NºAsuntos!G16),'Resol  Asuntos'!D16/NºAsuntos!G16," - ")</f>
        <v>0.1891891891891892</v>
      </c>
      <c r="E16" s="462">
        <f>IF(ISNUMBER((NºAsuntos!C16+NºAsuntos!E16)/NºAsuntos!G16),(NºAsuntos!C16+NºAsuntos!E16)/NºAsuntos!G16," - ")</f>
        <v>1.543289051763628</v>
      </c>
      <c r="G16" s="480"/>
    </row>
    <row r="17" spans="1:7">
      <c r="A17" s="414" t="str">
        <f>Datos!A17</f>
        <v xml:space="preserve">Jdos. 1ª Instª. e Instr.                        </v>
      </c>
      <c r="B17" s="459" t="str">
        <f>IF(ISNUMBER(NºAsuntos!G17/NºAsuntos!E17),NºAsuntos!G17/NºAsuntos!E17," - ")</f>
        <v xml:space="preserve"> - </v>
      </c>
      <c r="C17" s="460">
        <f>IF(ISNUMBER(NºAsuntos!I17/NºAsuntos!G17),NºAsuntos!I17/NºAsuntos!G17," - ")</f>
        <v>0.20370370370370369</v>
      </c>
      <c r="D17" s="461">
        <f>IF(ISNUMBER('Resol  Asuntos'!D17/NºAsuntos!G17),'Resol  Asuntos'!D17/NºAsuntos!G17," - ")</f>
        <v>0</v>
      </c>
      <c r="E17" s="462">
        <f>IF(ISNUMBER((NºAsuntos!C17+NºAsuntos!E17)/NºAsuntos!G17),(NºAsuntos!C17+NºAsuntos!E17)/NºAsuntos!G17," - ")</f>
        <v>0.27777777777777779</v>
      </c>
      <c r="G17" s="480"/>
    </row>
    <row r="18" spans="1:7">
      <c r="A18" s="414" t="str">
        <f>Datos!A18</f>
        <v>Jdos. Violencia contra la mujer</v>
      </c>
      <c r="B18" s="459">
        <f>IF(ISNUMBER(NºAsuntos!G18/NºAsuntos!E18),NºAsuntos!G18/NºAsuntos!E18," - ")</f>
        <v>1.0581818181818181</v>
      </c>
      <c r="C18" s="460">
        <f>IF(ISNUMBER(NºAsuntos!I18/NºAsuntos!G18),NºAsuntos!I18/NºAsuntos!G18," - ")</f>
        <v>0.37800687285223367</v>
      </c>
      <c r="D18" s="461">
        <f>IF(ISNUMBER('Resol  Asuntos'!D18/NºAsuntos!G18),'Resol  Asuntos'!D18/NºAsuntos!G18," - ")</f>
        <v>0.51890034364261173</v>
      </c>
      <c r="E18" s="462">
        <f>IF(ISNUMBER((NºAsuntos!C18+NºAsuntos!E18)/NºAsuntos!G18),(NºAsuntos!C18+NºAsuntos!E18)/NºAsuntos!G18," - ")</f>
        <v>1.3780068728522337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1.0976986539296569</v>
      </c>
      <c r="C20" s="1006">
        <f>IF(ISNUMBER(NºAsuntos!I20/NºAsuntos!G20),NºAsuntos!I20/NºAsuntos!G20," - ")</f>
        <v>0.54628164556962022</v>
      </c>
      <c r="D20" s="1009">
        <f>IF(ISNUMBER('Resol  Asuntos'!D20/NºAsuntos!G20),'Resol  Asuntos'!D20/NºAsuntos!G20," - ")</f>
        <v>0.22310126582278481</v>
      </c>
      <c r="E20" s="1008">
        <f>IF(ISNUMBER((NºAsuntos!C20+NºAsuntos!E20)/NºAsuntos!G20),(NºAsuntos!C20+NºAsuntos!E20)/NºAsuntos!G20," - ")</f>
        <v>1.4972310126582278</v>
      </c>
      <c r="G20" s="480"/>
    </row>
    <row r="21" spans="1:7" ht="15.75" customHeight="1" thickTop="1" thickBot="1">
      <c r="A21" s="940" t="str">
        <f>Datos!A21</f>
        <v>TOTAL JURISDICCIONES</v>
      </c>
      <c r="B21" s="955">
        <f>IF(ISNUMBER(NºAsuntos!G21/NºAsuntos!E21),NºAsuntos!G21/NºAsuntos!E21," - ")</f>
        <v>0.99510284035259544</v>
      </c>
      <c r="C21" s="956">
        <f>IF(ISNUMBER(NºAsuntos!I21/NºAsuntos!G21),NºAsuntos!I21/NºAsuntos!G21," - ")</f>
        <v>2.4303641732283463</v>
      </c>
      <c r="D21" s="957">
        <f>IF(ISNUMBER('Resol  Asuntos'!D21/NºAsuntos!G21),'Resol  Asuntos'!D21/NºAsuntos!G21," - ")</f>
        <v>0.19660433070866143</v>
      </c>
      <c r="E21" s="958">
        <f>IF(ISNUMBER((NºAsuntos!C21+NºAsuntos!E21)/NºAsuntos!G21),(NºAsuntos!C21+NºAsuntos!E21)/NºAsuntos!G21," - ")</f>
        <v>3.4571850393700787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Yz3fReuzN6o8QHttmM50unrMK7KMaVtMAr7LCaVNSG58AqTNevY15C5qmgcREU341/dgY0QLkkFes+nTkV9eg==" saltValue="yd3sIkN7IGGW9/eRozQy7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TORREVIEJA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427</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170</v>
      </c>
      <c r="Y9" s="344">
        <f>SUM(W9:X9)</f>
        <v>170</v>
      </c>
      <c r="Z9" s="345" t="str">
        <f>IF(ISNUMBER(Datos!CC9),Datos!CC9," - ")</f>
        <v xml:space="preserve"> - </v>
      </c>
      <c r="AA9" s="342" t="str">
        <f>IF(ISNUMBER(IF(J_V="SI",Datos!L9,Datos!L9+Datos!AB9)-IF(Monitorios="SI",Datos!CD9,0)),
                          IF(J_V="SI",Datos!L9,Datos!L9+Datos!AB9)-IF(Monitorios="SI",Datos!CD9,0),
                          " - ")</f>
        <v xml:space="preserve"> - </v>
      </c>
      <c r="AB9" s="344">
        <f>IF(ISNUMBER(Datos!R9),Datos!R9," - ")</f>
        <v>8331</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229</v>
      </c>
      <c r="AJ9" s="234" t="str">
        <f>IF(ISNUMBER(Datos!BW9),Datos!BW9," - ")</f>
        <v xml:space="preserve"> - </v>
      </c>
      <c r="AK9" s="233" t="str">
        <f>IF(ISNUMBER(Datos!BX9),Datos!BX9," - ")</f>
        <v xml:space="preserve"> - </v>
      </c>
      <c r="AL9" s="248">
        <f>IF(ISNUMBER(NºAsuntos!G9/NºAsuntos!E9),NºAsuntos!G9/NºAsuntos!E9," - ")</f>
        <v>0.86431014823261121</v>
      </c>
      <c r="AM9" s="265">
        <f>IF(ISNUMBER(((NºAsuntos!I9/NºAsuntos!G9)*11)/factor_trimestre),((NºAsuntos!I9/NºAsuntos!G9)*11)/factor_trimestre," - ")</f>
        <v>16.66622691292876</v>
      </c>
      <c r="AN9" s="249">
        <f>IF(ISNUMBER('Resol  Asuntos'!D9/NºAsuntos!G9),'Resol  Asuntos'!D9/NºAsuntos!G9," - ")</f>
        <v>0.15105540897097625</v>
      </c>
      <c r="AO9" s="250">
        <f>IF(ISNUMBER((NºAsuntos!C9+NºAsuntos!E9)/NºAsuntos!G9),(NºAsuntos!C9+NºAsuntos!E9)/NºAsuntos!G9," - ")</f>
        <v>6.7091029023746698</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1</v>
      </c>
      <c r="F10" s="230">
        <f>IF(ISNUMBER(Datos!L10+Datos!K10-Datos!J10-K10),Datos!L10+Datos!K10-Datos!J10-K10," - ")</f>
        <v>67</v>
      </c>
      <c r="G10" s="343">
        <f>IF(ISNUMBER(Datos!I10),Datos!I10," - ")</f>
        <v>67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20</v>
      </c>
      <c r="X10" s="231">
        <f>IF(ISNUMBER(Datos!Q10),Datos!Q10," - ")</f>
        <v>11</v>
      </c>
      <c r="Y10" s="344">
        <f t="shared" ref="Y10:Y13" si="0">SUM(W10:X10)</f>
        <v>31</v>
      </c>
      <c r="Z10" s="345" t="str">
        <f>IF(ISNUMBER(Datos!CC10),Datos!CC10," - ")</f>
        <v xml:space="preserve"> - </v>
      </c>
      <c r="AA10" s="342">
        <f>IF(ISNUMBER(Datos!L10),Datos!L10,"-")</f>
        <v>74</v>
      </c>
      <c r="AB10" s="344">
        <f>IF(ISNUMBER(Datos!R10),Datos!R10," - ")</f>
        <v>47</v>
      </c>
      <c r="AC10" s="344">
        <f t="shared" ref="AC10:AC13" si="1">IF(ISNUMBER(AA10+AB10),AA10+AB10," - ")</f>
        <v>121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0.7407407407407407</v>
      </c>
      <c r="AM10" s="265">
        <f>IF(ISNUMBER(((NºAsuntos!I10/NºAsuntos!G10)*11)/factor_trimestre),((NºAsuntos!I10/NºAsuntos!G10)*11)/factor_trimestre," - ")</f>
        <v>11.100000000000001</v>
      </c>
      <c r="AN10" s="249">
        <f>IF(ISNUMBER('Resol  Asuntos'!D10/NºAsuntos!G10),'Resol  Asuntos'!D10/NºAsuntos!G10," - ")</f>
        <v>0.3</v>
      </c>
      <c r="AO10" s="250">
        <f>IF(ISNUMBER((NºAsuntos!C10+NºAsuntos!E10)/NºAsuntos!G10),(NºAsuntos!C10+NºAsuntos!E10)/NºAsuntos!G10," - ")</f>
        <v>4.7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67</v>
      </c>
      <c r="G14" s="1013">
        <f t="shared" si="5"/>
        <v>67</v>
      </c>
      <c r="H14" s="1012">
        <f t="shared" si="5"/>
        <v>0</v>
      </c>
      <c r="I14" s="1014">
        <f t="shared" si="5"/>
        <v>0</v>
      </c>
      <c r="J14" s="1014">
        <f t="shared" si="5"/>
        <v>0</v>
      </c>
      <c r="K14" s="1014">
        <f t="shared" si="5"/>
        <v>0</v>
      </c>
      <c r="L14" s="1014">
        <f t="shared" si="5"/>
        <v>429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20</v>
      </c>
      <c r="X14" s="1014">
        <f t="shared" si="6"/>
        <v>181</v>
      </c>
      <c r="Y14" s="1015">
        <f t="shared" si="6"/>
        <v>201</v>
      </c>
      <c r="Z14" s="1015">
        <f t="shared" si="6"/>
        <v>0</v>
      </c>
      <c r="AA14" s="1015">
        <f t="shared" si="6"/>
        <v>74</v>
      </c>
      <c r="AB14" s="1015">
        <f t="shared" si="6"/>
        <v>8378</v>
      </c>
      <c r="AC14" s="1015">
        <f t="shared" si="6"/>
        <v>121</v>
      </c>
      <c r="AD14" s="1015">
        <f t="shared" si="6"/>
        <v>0</v>
      </c>
      <c r="AE14" s="1019">
        <f t="shared" si="6"/>
        <v>0</v>
      </c>
      <c r="AF14" s="1012">
        <f t="shared" si="6"/>
        <v>0</v>
      </c>
      <c r="AG14" s="1020">
        <f t="shared" si="6"/>
        <v>0</v>
      </c>
      <c r="AH14" s="1017">
        <f t="shared" si="6"/>
        <v>0</v>
      </c>
      <c r="AI14" s="1012">
        <f t="shared" si="6"/>
        <v>235</v>
      </c>
      <c r="AJ14" s="1014">
        <f t="shared" si="6"/>
        <v>0</v>
      </c>
      <c r="AK14" s="1017">
        <f>SUBTOTAL(9,AK9:AK13)</f>
        <v>0</v>
      </c>
      <c r="AL14" s="1021">
        <f>IF(ISNUMBER(NºAsuntos!G14/NºAsuntos!E14),NºAsuntos!G14/NºAsuntos!E14," - ")</f>
        <v>0.86243683323975295</v>
      </c>
      <c r="AM14" s="1021">
        <f>IF(ISNUMBER(((NºAsuntos!I14/NºAsuntos!G14)*11)/factor_trimestre),((NºAsuntos!I14/NºAsuntos!G14)*11)/factor_trimestre," - ")</f>
        <v>16.59375</v>
      </c>
      <c r="AN14" s="1022">
        <f>IF(ISNUMBER('Resol  Asuntos'!D14/NºAsuntos!G14),'Resol  Asuntos'!D14/NºAsuntos!G14," - ")</f>
        <v>0.15299479166666666</v>
      </c>
      <c r="AO14" s="1023">
        <f>IF(ISNUMBER((NºAsuntos!C14+NºAsuntos!E14)/NºAsuntos!G14),(NºAsuntos!C14+NºAsuntos!E14)/NºAsuntos!G14," - ")</f>
        <v>6.682942708333333</v>
      </c>
      <c r="AP14" s="1024" t="str">
        <f t="shared" si="2"/>
        <v xml:space="preserve"> - </v>
      </c>
      <c r="AQ14" s="1024">
        <f>IF(ISNUMBER((H14-W14+K14)/(F14)),(H14-W14+K14)/(F14)," - ")</f>
        <v>-0.29850746268656714</v>
      </c>
      <c r="AR14" s="1025">
        <f>IF(ISNUMBER((Datos!P14-Datos!Q14)/(Datos!R14-Datos!P14+Datos!Q14)),(Datos!P14-Datos!Q14)/(Datos!R14-Datos!P14+Datos!Q14)," - ")</f>
        <v>3.050430504305043E-2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1415</v>
      </c>
      <c r="G16" s="343">
        <f>IF(ISNUMBER(IF(D_I="SI",Datos!I16,Datos!I16+Datos!AC16)),IF(D_I="SI",Datos!I16,Datos!I16+Datos!AC16)," - ")</f>
        <v>1341</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85</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2183</v>
      </c>
      <c r="X16" s="231">
        <f>IF(ISNUMBER(Datos!Q16),Datos!Q16," - ")</f>
        <v>101</v>
      </c>
      <c r="Y16" s="344">
        <f>SUM(W16)</f>
        <v>2183</v>
      </c>
      <c r="Z16" s="345" t="str">
        <f>IF(ISNUMBER(Datos!CC16),Datos!CC16," - ")</f>
        <v xml:space="preserve"> - </v>
      </c>
      <c r="AA16" s="342">
        <f>IF(ISNUMBER(IF(D_I="SI",Datos!L16,Datos!L16+Datos!AF16)),IF(D_I="SI",Datos!L16,Datos!L16+Datos!AF16)," - ")</f>
        <v>1260</v>
      </c>
      <c r="AB16" s="344">
        <f>IF(ISNUMBER(Datos!R16),Datos!R16," - ")</f>
        <v>298</v>
      </c>
      <c r="AC16" s="344">
        <f t="shared" ref="AC16:AC19" si="8">IF(ISNUMBER(AA16+AB16),AA16+AB16," - ")</f>
        <v>1558</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413</v>
      </c>
      <c r="AJ16" s="236" t="str">
        <f>IF(ISNUMBER(Datos!BW16),Datos!BW16," - ")</f>
        <v xml:space="preserve"> - </v>
      </c>
      <c r="AK16" s="237" t="str">
        <f>IF(ISNUMBER(Datos!BX16),Datos!BX16," - ")</f>
        <v xml:space="preserve"> - </v>
      </c>
      <c r="AL16" s="248">
        <f>IF(ISNUMBER(NºAsuntos!G16/NºAsuntos!E16),NºAsuntos!G16/NºAsuntos!E16," - ")</f>
        <v>1.0764299802761341</v>
      </c>
      <c r="AM16" s="265">
        <f>IF(ISNUMBER(((NºAsuntos!I16/NºAsuntos!G16)*11)/factor_trimestre),((NºAsuntos!I16/NºAsuntos!G16)*11)/factor_trimestre," - ")</f>
        <v>1.7315620705451213</v>
      </c>
      <c r="AN16" s="249">
        <f>IF(ISNUMBER('Resol  Asuntos'!D16/NºAsuntos!G16),'Resol  Asuntos'!D16/NºAsuntos!G16," - ")</f>
        <v>0.1891891891891892</v>
      </c>
      <c r="AO16" s="250">
        <f>IF(ISNUMBER((NºAsuntos!C16+NºAsuntos!E16)/NºAsuntos!G16),(NºAsuntos!C16+NºAsuntos!E16)/NºAsuntos!G16," - ")</f>
        <v>1.543289051763628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65</v>
      </c>
      <c r="G17" s="343">
        <f>IF(ISNUMBER(IF(D_I="SI",Datos!I17,Datos!I17+Datos!AC17)),IF(D_I="SI",Datos!I17,Datos!I17+Datos!AC17)," - ")</f>
        <v>15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54</v>
      </c>
      <c r="X17" s="231">
        <f>IF(ISNUMBER(Datos!Q17),Datos!Q17," - ")</f>
        <v>0</v>
      </c>
      <c r="Y17" s="344">
        <f t="shared" ref="Y17:Y19" si="9">SUM(W17:X17)</f>
        <v>54</v>
      </c>
      <c r="Z17" s="345" t="str">
        <f>IF(ISNUMBER(Datos!CC17),Datos!CC17," - ")</f>
        <v xml:space="preserve"> - </v>
      </c>
      <c r="AA17" s="342">
        <f>IF(ISNUMBER(IF(D_I="SI",Datos!L17,Datos!L17+Datos!AF17)),IF(D_I="SI",Datos!L17,Datos!L17+Datos!AF17)," - ")</f>
        <v>11</v>
      </c>
      <c r="AB17" s="344">
        <f>IF(ISNUMBER(Datos!R17),Datos!R17," - ")</f>
        <v>12</v>
      </c>
      <c r="AC17" s="344">
        <f t="shared" si="8"/>
        <v>23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f>IF(ISNUMBER(((NºAsuntos!I17/NºAsuntos!G17)*11)/factor_trimestre),((NºAsuntos!I17/NºAsuntos!G17)*11)/factor_trimestre," - ")</f>
        <v>0.61111111111111105</v>
      </c>
      <c r="AN17" s="249">
        <f>IF(ISNUMBER('Resol  Asuntos'!D17/NºAsuntos!G17),'Resol  Asuntos'!D17/NºAsuntos!G17," - ")</f>
        <v>0</v>
      </c>
      <c r="AO17" s="250">
        <f>IF(ISNUMBER((NºAsuntos!C17+NºAsuntos!E17)/NºAsuntos!G17),(NºAsuntos!C17+NºAsuntos!E17)/NºAsuntos!G17," - ")</f>
        <v>0.27777777777777779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126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291</v>
      </c>
      <c r="X18" s="231">
        <f>IF(ISNUMBER(Datos!Q18),Datos!Q18," - ")</f>
        <v>4</v>
      </c>
      <c r="Y18" s="344">
        <f t="shared" si="9"/>
        <v>295</v>
      </c>
      <c r="Z18" s="345" t="str">
        <f>IF(ISNUMBER(Datos!CC18),Datos!CC18," - ")</f>
        <v xml:space="preserve"> - </v>
      </c>
      <c r="AA18" s="342">
        <f>IF(ISNUMBER(Datos!L18),Datos!L18,"-")</f>
        <v>110</v>
      </c>
      <c r="AB18" s="344">
        <f>IF(ISNUMBER(Datos!R18),Datos!R18," - ")</f>
        <v>0</v>
      </c>
      <c r="AC18" s="344">
        <f t="shared" si="8"/>
        <v>110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151</v>
      </c>
      <c r="AJ18" s="236" t="str">
        <f>IF(ISNUMBER(Datos!BW18),Datos!BW18," - ")</f>
        <v xml:space="preserve"> - </v>
      </c>
      <c r="AK18" s="237" t="str">
        <f>IF(ISNUMBER(Datos!BX18),Datos!BX18," - ")</f>
        <v xml:space="preserve"> - </v>
      </c>
      <c r="AL18" s="248">
        <f>IF(ISNUMBER(NºAsuntos!G18/NºAsuntos!E18),NºAsuntos!G18/NºAsuntos!E18," - ")</f>
        <v>1.0581818181818181</v>
      </c>
      <c r="AM18" s="265">
        <f>IF(ISNUMBER(((NºAsuntos!I18/NºAsuntos!G18)*11)/factor_trimestre),((NºAsuntos!I18/NºAsuntos!G18)*11)/factor_trimestre," - ")</f>
        <v>1.134020618556701</v>
      </c>
      <c r="AN18" s="249">
        <f>IF(ISNUMBER('Resol  Asuntos'!D18/NºAsuntos!G18),'Resol  Asuntos'!D18/NºAsuntos!G18," - ")</f>
        <v>0.51890034364261173</v>
      </c>
      <c r="AO18" s="250">
        <f>IF(ISNUMBER((NºAsuntos!C18+NºAsuntos!E18)/NºAsuntos!G18),(NºAsuntos!C18+NºAsuntos!E18)/NºAsuntos!G18," - ")</f>
        <v>1.3780068728522337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1480</v>
      </c>
      <c r="G20" s="1013">
        <f>SUBTOTAL(9,G16:G19)</f>
        <v>1482</v>
      </c>
      <c r="H20" s="1012">
        <f t="shared" ref="H20:O20" si="12">SUBTOTAL(9,H15:H19)</f>
        <v>0</v>
      </c>
      <c r="I20" s="1014">
        <f t="shared" si="12"/>
        <v>0</v>
      </c>
      <c r="J20" s="1014">
        <f t="shared" si="12"/>
        <v>0</v>
      </c>
      <c r="K20" s="1014">
        <f t="shared" si="12"/>
        <v>0</v>
      </c>
      <c r="L20" s="1014">
        <f t="shared" si="12"/>
        <v>89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2528</v>
      </c>
      <c r="X20" s="1014">
        <f t="shared" si="13"/>
        <v>105</v>
      </c>
      <c r="Y20" s="1015">
        <f t="shared" si="13"/>
        <v>2532</v>
      </c>
      <c r="Z20" s="1015">
        <f t="shared" si="13"/>
        <v>0</v>
      </c>
      <c r="AA20" s="1015">
        <f t="shared" si="13"/>
        <v>1381</v>
      </c>
      <c r="AB20" s="1015">
        <f t="shared" si="13"/>
        <v>310</v>
      </c>
      <c r="AC20" s="1015">
        <f t="shared" si="13"/>
        <v>1691</v>
      </c>
      <c r="AD20" s="1015">
        <f t="shared" si="13"/>
        <v>0</v>
      </c>
      <c r="AE20" s="1019">
        <f t="shared" si="13"/>
        <v>0</v>
      </c>
      <c r="AF20" s="1012">
        <f t="shared" si="13"/>
        <v>0</v>
      </c>
      <c r="AG20" s="1020">
        <f t="shared" si="13"/>
        <v>0</v>
      </c>
      <c r="AH20" s="1017">
        <f t="shared" si="13"/>
        <v>0</v>
      </c>
      <c r="AI20" s="1012">
        <f t="shared" si="13"/>
        <v>564</v>
      </c>
      <c r="AJ20" s="1014">
        <f t="shared" si="13"/>
        <v>0</v>
      </c>
      <c r="AK20" s="1017">
        <f t="shared" si="13"/>
        <v>0</v>
      </c>
      <c r="AL20" s="1021">
        <f>IF(ISNUMBER(NºAsuntos!G20/NºAsuntos!E20),NºAsuntos!G20/NºAsuntos!E20," - ")</f>
        <v>1.0976986539296569</v>
      </c>
      <c r="AM20" s="1021">
        <f>IF(ISNUMBER(((NºAsuntos!I20/NºAsuntos!G20)*11)/factor_trimestre),((NºAsuntos!I20/NºAsuntos!G20)*11)/factor_trimestre," - ")</f>
        <v>1.6388449367088607</v>
      </c>
      <c r="AN20" s="1022">
        <f>IF(ISNUMBER('Resol  Asuntos'!D20/NºAsuntos!G20),'Resol  Asuntos'!D20/NºAsuntos!G20," - ")</f>
        <v>0.22310126582278481</v>
      </c>
      <c r="AO20" s="1023">
        <f>IF(ISNUMBER((NºAsuntos!C20+NºAsuntos!E20)/NºAsuntos!G20),(NºAsuntos!C20+NºAsuntos!E20)/NºAsuntos!G20," - ")</f>
        <v>1.4972310126582278</v>
      </c>
      <c r="AP20" s="1024" t="str">
        <f t="shared" si="2"/>
        <v xml:space="preserve"> - </v>
      </c>
      <c r="AQ20" s="1024">
        <f>IF(ISNUMBER((H20-W20+K20)/(F20)),(H20-W20+K20)/(F20)," - ")</f>
        <v>-1.7081081081081082</v>
      </c>
      <c r="AR20" s="1025">
        <f>IF(ISNUMBER((Datos!P20-Datos!Q20)/(Datos!R20-Datos!P20+Datos!Q20)),(Datos!P20-Datos!Q20)/(Datos!R20-Datos!P20+Datos!Q20)," - ")</f>
        <v>-4.9079754601226995E-2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11</v>
      </c>
      <c r="F21" s="967">
        <f t="shared" si="15"/>
        <v>1547</v>
      </c>
      <c r="G21" s="968">
        <f t="shared" si="15"/>
        <v>1549</v>
      </c>
      <c r="H21" s="967">
        <f t="shared" si="15"/>
        <v>0</v>
      </c>
      <c r="I21" s="969">
        <f t="shared" si="15"/>
        <v>0</v>
      </c>
      <c r="J21" s="969">
        <f t="shared" si="15"/>
        <v>0</v>
      </c>
      <c r="K21" s="1028">
        <f t="shared" si="15"/>
        <v>0</v>
      </c>
      <c r="L21" s="969">
        <f t="shared" si="15"/>
        <v>518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2548</v>
      </c>
      <c r="X21" s="968">
        <f t="shared" si="16"/>
        <v>286</v>
      </c>
      <c r="Y21" s="975">
        <f t="shared" si="16"/>
        <v>2733</v>
      </c>
      <c r="Z21" s="975">
        <f t="shared" si="16"/>
        <v>0</v>
      </c>
      <c r="AA21" s="975">
        <f t="shared" si="16"/>
        <v>1455</v>
      </c>
      <c r="AB21" s="975">
        <f t="shared" si="16"/>
        <v>8688</v>
      </c>
      <c r="AC21" s="975">
        <f t="shared" si="16"/>
        <v>1812</v>
      </c>
      <c r="AD21" s="975">
        <f t="shared" si="16"/>
        <v>0</v>
      </c>
      <c r="AE21" s="977">
        <f t="shared" si="16"/>
        <v>0</v>
      </c>
      <c r="AF21" s="978">
        <f t="shared" si="16"/>
        <v>0</v>
      </c>
      <c r="AG21" s="979">
        <f t="shared" si="16"/>
        <v>0</v>
      </c>
      <c r="AH21" s="977">
        <f t="shared" si="16"/>
        <v>0</v>
      </c>
      <c r="AI21" s="967">
        <f t="shared" si="16"/>
        <v>799</v>
      </c>
      <c r="AJ21" s="967">
        <f t="shared" si="16"/>
        <v>0</v>
      </c>
      <c r="AK21" s="977">
        <f t="shared" si="16"/>
        <v>0</v>
      </c>
      <c r="AL21" s="1031">
        <f>IF(ISNUMBER(NºAsuntos!G21/NºAsuntos!E21),NºAsuntos!G21/NºAsuntos!E21," - ")</f>
        <v>0.99510284035259544</v>
      </c>
      <c r="AM21" s="1032">
        <f>IF(ISNUMBER(((NºAsuntos!I21/NºAsuntos!G21)*11)/factor_trimestre),((NºAsuntos!I21/NºAsuntos!G21)*11)/factor_trimestre," - ")</f>
        <v>7.2910925196850389</v>
      </c>
      <c r="AN21" s="1032">
        <f>IF(ISNUMBER('Resol  Asuntos'!D21/NºAsuntos!G21),'Resol  Asuntos'!D21/NºAsuntos!G21," - ")</f>
        <v>0.19660433070866143</v>
      </c>
      <c r="AO21" s="1033">
        <f>IF(ISNUMBER((NºAsuntos!C21+NºAsuntos!E21)/NºAsuntos!G21),(NºAsuntos!C21+NºAsuntos!E21)/NºAsuntos!G21," - ")</f>
        <v>3.4571850393700787</v>
      </c>
      <c r="AP21" s="1034" t="str">
        <f t="shared" si="2"/>
        <v xml:space="preserve"> - </v>
      </c>
      <c r="AQ21" s="1035">
        <f>IF(OR(ISNUMBER(FIND("01",Criterios!A8,1)),ISNUMBER(FIND("02",Criterios!A8,1)),ISNUMBER(FIND("03",Criterios!A8,1)),ISNUMBER(FIND("04",Criterios!A8,1))),(I21-W21+K21)/(F21-K21),(H21-W21+K21)/(F21-K21))</f>
        <v>-1.6470588235294117</v>
      </c>
      <c r="AR21" s="1036">
        <f>IF(ISNUMBER((Datos!P21-Datos!Q21)/(Datos!R21-Datos!P21+Datos!Q21)),(Datos!P21-Datos!Q21)/(Datos!R21-Datos!P21+Datos!Q21)," - ")</f>
        <v>2.7436140018921477E-2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516.33333333333337</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2.4494897427831779</v>
      </c>
      <c r="F23" s="257">
        <f>IF(ISNUMBER(STDEV(F8:F20)),STDEV(F8:F20),"-")</f>
        <v>756.84555888239174</v>
      </c>
      <c r="G23" s="258">
        <f>IF(ISNUMBER(STDEV(G8:G20)),STDEV(G8:G20),"-")</f>
        <v>695.71306345839639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1176.1349695790302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205.89942066108742</v>
      </c>
      <c r="AJ23" s="257">
        <f t="shared" si="20"/>
        <v>0</v>
      </c>
      <c r="AK23" s="259">
        <f t="shared" si="20"/>
        <v>0</v>
      </c>
      <c r="AL23" s="254">
        <f t="shared" si="20"/>
        <v>0.1471748808297115</v>
      </c>
      <c r="AM23" s="255">
        <f t="shared" si="20"/>
        <v>7.4607832117914139</v>
      </c>
      <c r="AN23" s="255">
        <f t="shared" si="20"/>
        <v>0.16038503591723782</v>
      </c>
      <c r="AO23" s="256">
        <f t="shared" si="20"/>
        <v>2.7134327278470605</v>
      </c>
      <c r="AP23" s="296" t="str">
        <f t="shared" si="20"/>
        <v>-</v>
      </c>
      <c r="AQ23" s="297">
        <f t="shared" si="20"/>
        <v>0.9967381751425054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N+DoUv25QAq9v1OHroWX4QyQdYVq+F1oB2AELgRL6FbNaMhgaRNKQ+hn1M5tRU5KLvqLoIWSbO5o8XHVBhq3A==" saltValue="ji3raeyQ9qbE2EzjwYK7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TORREVIEJA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-0.3475783475783476</v>
      </c>
      <c r="I9" s="360">
        <f>IF(ISNUMBER((Tasas!C9-Datos!BE9)/Datos!BE9),(Tasas!C9-Datos!BE9)/Datos!BE9," - ")</f>
        <v>9.1205554585317705E-2</v>
      </c>
      <c r="J9" s="359">
        <f>IF(ISNUMBER((Tasas!D9-Datos!BF9)/Datos!BF9),(Tasas!D9-Datos!BF9)/Datos!BF9," - ")</f>
        <v>-0.64151547755735183</v>
      </c>
      <c r="K9" s="361">
        <f>IF(ISNUMBER((Tasas!E9-Datos!BG9)/Datos!BG9),(Tasas!E9-Datos!BG9)/Datos!BG9," - ")</f>
        <v>0.10146456142454956</v>
      </c>
      <c r="M9" t="e">
        <f>IF(Monitorios="SI",Datos!CE9,0)</f>
        <v>#REF!</v>
      </c>
      <c r="N9" t="e">
        <f>IF(Monitorios="SI",Datos!CF9,0)</f>
        <v>#REF!</v>
      </c>
      <c r="O9" t="e">
        <f>IF(Monitorios="SI",Datos!CG9,0)</f>
        <v>#REF!</v>
      </c>
      <c r="P9" t="e">
        <f>IF(Monitorios="SI",Datos!CH9,0)</f>
        <v>#REF!</v>
      </c>
      <c r="Q9">
        <f>IF(J_V="SI",0,Datos!AG9)</f>
        <v>288</v>
      </c>
      <c r="R9">
        <f>IF(J_V="SI",0,Datos!AH9)</f>
        <v>170</v>
      </c>
      <c r="S9">
        <f>IF(J_V="SI",0,Datos!AI9)</f>
        <v>95</v>
      </c>
      <c r="T9">
        <f>IF(J_V="SI",0,Datos!AJ9)</f>
        <v>363</v>
      </c>
    </row>
    <row r="10" spans="2:20" ht="14.25">
      <c r="B10" s="280" t="s">
        <v>273</v>
      </c>
      <c r="C10" s="7" t="str">
        <f>Datos!A10</f>
        <v>Jdos. Violencia contra la mujer</v>
      </c>
      <c r="D10" s="362">
        <f>IF(ISNUMBER((Datos!I10-Datos!S10)/Datos!S10),(Datos!I10-Datos!S10)/Datos!S10," - ")</f>
        <v>-0.27956989247311825</v>
      </c>
      <c r="E10" s="358">
        <f>IF(ISNUMBER((Datos!J10-Datos!T10)/Datos!T10),(Datos!J10-Datos!T10)/Datos!T10," - ")</f>
        <v>26</v>
      </c>
      <c r="F10" s="358">
        <f>IF(ISNUMBER((Datos!K10-Datos!U10)/Datos!U10),(Datos!K10-Datos!U10)/Datos!U10," - ")</f>
        <v>0.25</v>
      </c>
      <c r="G10" s="359">
        <f>IF(ISNUMBER((Datos!L10-Datos!V10)/Datos!V10),(Datos!L10-Datos!V10)/Datos!V10," - ")</f>
        <v>-5.128205128205128E-2</v>
      </c>
      <c r="H10" s="235">
        <f>IF(ISNUMBER((Datos!M10-Datos!W10)/Datos!W10),(Datos!M10-Datos!W10)/Datos!W10," - ")</f>
        <v>-0.625</v>
      </c>
      <c r="I10" s="360">
        <f>IF(ISNUMBER((Tasas!C10-Datos!BE10)/Datos!BE10),(Tasas!C10-Datos!BE10)/Datos!BE10," - ")</f>
        <v>-0.241025641025641</v>
      </c>
      <c r="J10" s="359">
        <f>IF(ISNUMBER((Tasas!D10-Datos!BF10)/Datos!BF10),(Tasas!D10-Datos!BF10)/Datos!BF10," - ")</f>
        <v>-0.7</v>
      </c>
      <c r="K10" s="361">
        <f>IF(ISNUMBER((Tasas!E10-Datos!BG10)/Datos!BG10),(Tasas!E10-Datos!BG10)/Datos!BG10," - ")</f>
        <v>-0.19999999999999998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-0.35967302452316074</v>
      </c>
      <c r="I14" s="367">
        <f>IF(ISNUMBER((Tasas!C14-Datos!BE14)/Datos!BE14),(Tasas!C14-Datos!BE14)/Datos!BE14," - ")</f>
        <v>8.690402339595886E-2</v>
      </c>
      <c r="J14" s="365">
        <f>IF(ISNUMBER((Tasas!D14-Datos!BF14)/Datos!BF14),(Tasas!D14-Datos!BF14)/Datos!BF14," - ")</f>
        <v>-0.64164741050469487</v>
      </c>
      <c r="K14" s="368">
        <f>IF(ISNUMBER((Tasas!E14-Datos!BG14)/Datos!BG14),(Tasas!E14-Datos!BG14)/Datos!BG14," - ")</f>
        <v>9.7544314038942592E-2</v>
      </c>
      <c r="M14" t="e">
        <f>IF(Monitorios="SI",Datos!CE14,0)</f>
        <v>#REF!</v>
      </c>
      <c r="N14" t="e">
        <f>IF(Monitorios="SI",Datos!CF14,0)</f>
        <v>#REF!</v>
      </c>
      <c r="O14" t="e">
        <f>IF(Monitorios="SI",Datos!CG14,0)</f>
        <v>#REF!</v>
      </c>
      <c r="P14" t="e">
        <f>IF(Monitorios="SI",Datos!CH14,0)</f>
        <v>#REF!</v>
      </c>
      <c r="Q14">
        <f>IF(J_V="SI",0,Datos!AG14)</f>
        <v>288</v>
      </c>
      <c r="R14">
        <f>IF(J_V="SI",0,Datos!AH14)</f>
        <v>170</v>
      </c>
      <c r="S14">
        <f>IF(J_V="SI",0,Datos!AI14)</f>
        <v>95</v>
      </c>
      <c r="T14">
        <f>IF(J_V="SI",0,Datos!AJ14)</f>
        <v>363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0.11749999999999999</v>
      </c>
      <c r="E16" s="358">
        <f>IF(ISNUMBER(
   IF(D_I="SI",(Datos!J16-Datos!T16)/Datos!T16,(Datos!J16+Datos!AD16-(Datos!T16+Datos!AL16))/(Datos!T16+Datos!AL16))
     ),IF(D_I="SI",(Datos!J16-Datos!T16)/Datos!T16,(Datos!J16+Datos!AD16-(Datos!T16+Datos!AL16))/(Datos!T16+Datos!AL16))," - ")</f>
        <v>7.9297498669505057E-2</v>
      </c>
      <c r="F16" s="358">
        <f>IF(ISNUMBER(
   IF(D_I="SI",(Datos!K16-Datos!U16)/Datos!U16,(Datos!K16+Datos!AE16-(Datos!U16+Datos!AM16))/(Datos!U16+Datos!AM16))
     ),IF(D_I="SI",(Datos!K16-Datos!U16)/Datos!U16,(Datos!K16+Datos!AE16-(Datos!U16+Datos!AM16))/(Datos!U16+Datos!AM16))," - ")</f>
        <v>0.1003024193548387</v>
      </c>
      <c r="G16" s="359">
        <f>IF(ISNUMBER(
   IF(D_I="SI",(Datos!L16-Datos!V16)/Datos!V16,(Datos!L16+Datos!AF16-(Datos!V16+Datos!AN16))/(Datos!V16+Datos!AN16))
     ),IF(D_I="SI",(Datos!L16-Datos!V16)/Datos!V16,(Datos!L16+Datos!AF16-(Datos!V16+Datos!AN16))/(Datos!V16+Datos!AN16))," - ")</f>
        <v>7.1428571428571425E-2</v>
      </c>
      <c r="H16" s="235">
        <f>IF(ISNUMBER((Datos!M16-Datos!W16)/Datos!W16),(Datos!M16-Datos!W16)/Datos!W16," - ")</f>
        <v>4.0302267002518891E-2</v>
      </c>
      <c r="I16" s="360">
        <f>IF(ISNUMBER((Tasas!C16-Datos!BE16)/Datos!BE16),(Tasas!C16-Datos!BE16)/Datos!BE16," - ")</f>
        <v>-2.624173810614502E-2</v>
      </c>
      <c r="J16" s="359">
        <f>IF(ISNUMBER((Tasas!D16-Datos!BF16)/Datos!BF16),(Tasas!D16-Datos!BF16)/Datos!BF16," - ")</f>
        <v>-5.4530601130097313E-2</v>
      </c>
      <c r="K16" s="361">
        <f>IF(ISNUMBER((Tasas!E16-Datos!BG16)/Datos!BG16),(Tasas!E16-Datos!BG16)/Datos!BG16," - ")</f>
        <v>-5.5584674572790775E-3</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-6.25E-2</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f>IF(ISNUMBER(
   IF(D_I="SI",(Datos!L17-Datos!V17)/Datos!V17,(Datos!L17+Datos!AF17-(Datos!V17+Datos!AN17))/(Datos!V17+Datos!AN17))
     ),IF(D_I="SI",(Datos!L17-Datos!V17)/Datos!V17,(Datos!L17+Datos!AF17-(Datos!V17+Datos!AN17))/(Datos!V17+Datos!AN17))," - ")</f>
        <v>-0.3125</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-3.0769230769230771E-2</v>
      </c>
      <c r="E18" s="358">
        <f>IF(ISNUMBER(
   IF(D_I="SI",(Datos!J18-Datos!T18)/Datos!T18,(Datos!J18+Datos!AD18-(Datos!T18+Datos!AL18))/(Datos!T18+Datos!AL18))
     ),IF(D_I="SI",(Datos!J18-Datos!T18)/Datos!T18,(Datos!J18+Datos!AD18-(Datos!T18+Datos!AL18))/(Datos!T18+Datos!AL18))," - ")</f>
        <v>1.0833333333333333</v>
      </c>
      <c r="F18" s="358">
        <f>IF(ISNUMBER(
   IF(D_I="SI",(Datos!K18-Datos!U18)/Datos!U18,(Datos!K18+Datos!AE18-(Datos!U18+Datos!AM18))/(Datos!U18+Datos!AM18))
     ),IF(D_I="SI",(Datos!K18-Datos!U18)/Datos!U18,(Datos!K18+Datos!AE18-(Datos!U18+Datos!AM18))/(Datos!U18+Datos!AM18))," - ")</f>
        <v>0.59890109890109888</v>
      </c>
      <c r="G18" s="359">
        <f>IF(ISNUMBER(
   IF(D_I="SI",(Datos!L18-Datos!V18)/Datos!V18,(Datos!L18+Datos!AF18-(Datos!V18+Datos!AN18))/(Datos!V18+Datos!AN18))
     ),IF(D_I="SI",(Datos!L18-Datos!V18)/Datos!V18,(Datos!L18+Datos!AF18-(Datos!V18+Datos!AN18))/(Datos!V18+Datos!AN18))," - ")</f>
        <v>0.375</v>
      </c>
      <c r="H18" s="235">
        <f>IF(ISNUMBER((Datos!M18-Datos!W18)/Datos!W18),(Datos!M18-Datos!W18)/Datos!W18," - ")</f>
        <v>2.5116279069767442</v>
      </c>
      <c r="I18" s="360">
        <f>IF(ISNUMBER((Tasas!C18-Datos!BE18)/Datos!BE18),(Tasas!C18-Datos!BE18)/Datos!BE18," - ")</f>
        <v>-0.14003436426116839</v>
      </c>
      <c r="J18" s="359">
        <f>IF(ISNUMBER((Tasas!D18-Datos!BF18)/Datos!BF18),(Tasas!D18-Datos!BF18)/Datos!BF18," - ")</f>
        <v>1.1962758730919847</v>
      </c>
      <c r="K18" s="361">
        <f>IF(ISNUMBER((Tasas!E18-Datos!BG18)/Datos!BG18),(Tasas!E18-Datos!BG18)/Datos!BG18," - ")</f>
        <v>-4.2758584507226992E-2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0.10104011887072809</v>
      </c>
      <c r="E20" s="364">
        <f>IF(ISNUMBER(
   IF(D_I="SI",(Datos!J20-Datos!T20)/Datos!T20,(Datos!J20+Datos!AD20-(Datos!T20+Datos!AL20))/(Datos!T20+Datos!AL20))
     ),IF(D_I="SI",(Datos!J20-Datos!T20)/Datos!T20,(Datos!J20+Datos!AD20-(Datos!T20+Datos!AL20))/(Datos!T20+Datos!AL20))," - ")</f>
        <v>0.14520139234211835</v>
      </c>
      <c r="F20" s="364">
        <f>IF(ISNUMBER(
   IF(D_I="SI",(Datos!K20-Datos!U20)/Datos!U20,(Datos!K20+Datos!AE20-(Datos!U20+Datos!AM20))/(Datos!U20+Datos!AM20))
     ),IF(D_I="SI",(Datos!K20-Datos!U20)/Datos!U20,(Datos!K20+Datos!AE20-(Datos!U20+Datos!AM20))/(Datos!U20+Datos!AM20))," - ")</f>
        <v>0.16712834718374883</v>
      </c>
      <c r="G20" s="365">
        <f>IF(ISNUMBER(
   IF(D_I="SI",(Datos!L20-Datos!V20)/Datos!V20,(Datos!L20+Datos!AF20-(Datos!V20+Datos!AN20))/(Datos!V20+Datos!AN20))
     ),IF(D_I="SI",(Datos!L20-Datos!V20)/Datos!V20,(Datos!L20+Datos!AF20-(Datos!V20+Datos!AN20))/(Datos!V20+Datos!AN20))," - ")</f>
        <v>8.5691823899371064E-2</v>
      </c>
      <c r="H20" s="366">
        <f>IF(ISNUMBER((Datos!M20-Datos!W20)/Datos!W20),(Datos!M20-Datos!W20)/Datos!W20," - ")</f>
        <v>0.2818181818181818</v>
      </c>
      <c r="I20" s="367">
        <f>IF(ISNUMBER((Tasas!C20-Datos!BE20)/Datos!BE20),(Tasas!C20-Datos!BE20)/Datos!BE20," - ")</f>
        <v>-6.9775122402675083E-2</v>
      </c>
      <c r="J20" s="365">
        <f>IF(ISNUMBER((Tasas!D20-Datos!BF20)/Datos!BF20),(Tasas!D20-Datos!BF20)/Datos!BF20," - ")</f>
        <v>9.8266685845799728E-2</v>
      </c>
      <c r="K20" s="368">
        <f>IF(ISNUMBER((Tasas!E20-Datos!BG20)/Datos!BG20),(Tasas!E20-Datos!BG20)/Datos!BG20," - ")</f>
        <v>-3.3958184862162219E-2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2.9013939081053174E-2</v>
      </c>
      <c r="E21" s="373">
        <f>IF(ISNUMBER(
   IF(J_V="SI",(Datos!J21-Datos!T21)/Datos!T21,(Datos!J21+Datos!Z21-(Datos!T21+Datos!AH21))/(Datos!T21+Datos!AH21))
     ),IF(J_V="SI",(Datos!J21-Datos!T21)/Datos!T21,(Datos!J21+Datos!Z21-(Datos!T21+Datos!AH21))/(Datos!T21+Datos!AH21))," - ")</f>
        <v>7.5302790942601366E-2</v>
      </c>
      <c r="F21" s="373">
        <f>IF(ISNUMBER(
   IF(J_V="SI",(Datos!K21-Datos!U21)/Datos!U21,(Datos!K21+Datos!AA21-(Datos!U21+Datos!AI21))/(Datos!U21+Datos!AI21))
     ),IF(J_V="SI",(Datos!K21-Datos!U21)/Datos!U21,(Datos!K21+Datos!AA21-(Datos!U21+Datos!AI21))/(Datos!U21+Datos!AI21))," - ")</f>
        <v>6.1373726821624446E-2</v>
      </c>
      <c r="G21" s="374">
        <f>IF(ISNUMBER(
   IF(J_V="SI",(Datos!L21-Datos!V21)/Datos!V21,(Datos!L21+Datos!AB21-(Datos!V21+Datos!AJ21))/(Datos!V21+Datos!AJ21))
     ),IF(J_V="SI",(Datos!L21-Datos!V21)/Datos!V21,(Datos!L21+Datos!AB21-(Datos!V21+Datos!AJ21))/(Datos!V21+Datos!AJ21))," - ")</f>
        <v>1.4586543400102722E-2</v>
      </c>
      <c r="H21" s="375">
        <f>IF(ISNUMBER((Datos!M21-Datos!W21)/Datos!W21),(Datos!M21-Datos!W21)/Datos!W21," - ")</f>
        <v>-9.9132589838909543E-3</v>
      </c>
      <c r="I21" s="372">
        <f>IF(ISNUMBER((Tasas!C21-Datos!BE21)/Datos!BE21),(Tasas!C21-Datos!BE21)/Datos!BE21," - ")</f>
        <v>-4.4081723750247825E-2</v>
      </c>
      <c r="J21" s="373">
        <f>IF(ISNUMBER((Tasas!D21-Datos!BF21)/Datos!BF21),(Tasas!D21-Datos!BF21)/Datos!BF21," - ")</f>
        <v>-0.34539305888394378</v>
      </c>
      <c r="K21" s="374">
        <f>IF(ISNUMBER((Tasas!E21-Datos!BG21)/Datos!BG21),(Tasas!E21-Datos!BG21)/Datos!BG21," - ")</f>
        <v>-1.8203551453828452E-2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0.15989530903919386</v>
      </c>
      <c r="E23" s="283">
        <f t="shared" si="1"/>
        <v>12.790250941641727</v>
      </c>
      <c r="F23" s="283">
        <f t="shared" si="1"/>
        <v>0.22183009833108536</v>
      </c>
      <c r="G23" s="284">
        <f t="shared" si="1"/>
        <v>0.24884165078820694</v>
      </c>
      <c r="H23" s="290">
        <f t="shared" si="1"/>
        <v>1.1536353002892057</v>
      </c>
      <c r="I23" s="282">
        <f t="shared" si="1"/>
        <v>0.12979525050640303</v>
      </c>
      <c r="J23" s="283">
        <f t="shared" si="1"/>
        <v>0.73005668944889679</v>
      </c>
      <c r="K23" s="284">
        <f t="shared" si="1"/>
        <v>0.11105562032839966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TSI8JQ3I3/POEKxmw6DV8j+Oxay5ifJINUwuhiiOC4/txDdoGGaRP9mUBfuDoh2fAEEqWh3UbMhTfVV8dp4sg==" saltValue="4pUHivuNPtL1v9sFUBQNX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